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z3EVYkMy6wQDk0cDJHZpkHAB5FsER+ABmGbfE0Og6urw8pROr7zKdrLr3VRMbssKGrCPlMAC4yzmKIA2vTXnwg==" workbookSaltValue="StKAaNvQYvOxZxH4nSwj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BF17" i="8"/>
  <c r="T9" i="11"/>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L31" i="2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<sst xmlns="http://schemas.openxmlformats.org/spreadsheetml/2006/main" count="2682" uniqueCount="1193">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</sst>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fbSKbqKyXEILtoMGAN4/gcggoG3i3Q74lN6+isSIXhL2qRGtlMK4FiHfEMuie1DAesalwK8GT/ghVWjk7onHg==" saltValue="HQkqDqErCwb8clk5ZmWe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11</v>
      </c>
      <c r="F10" s="240">
        <f>IF(ISNUMBER(Datos!K10),Datos!K10," - ")</f>
        <v>14</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-0.10714285714285714</v>
      </c>
      <c r="L10" s="1402">
        <f>IF(ISNUMBER(NºAsuntos!I10/NºAsuntos!G10),(NºAsuntos!I10/NºAsuntos!G10)*11," - ")</f>
        <v>19.642857142857142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23.58064516129032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11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2065</v>
      </c>
      <c r="D17" s="239">
        <f>IF(ISNUMBER(IF(D_I="SI",Datos!I17,Datos!I17+Datos!AC17)),IF(D_I="SI",Datos!I17,Datos!I17+Datos!AC17)," - ")</f>
        <v>2038</v>
      </c>
      <c r="E17" s="240">
        <f>IF(ISNUMBER(IF(D_I="SI",Datos!J17,Datos!J17+Datos!AD17)),IF(D_I="SI",Datos!J17,Datos!J17+Datos!AD17)," - ")</f>
        <v>1043</v>
      </c>
      <c r="F17" s="240">
        <f>IF(ISNUMBER(IF(D_I="SI",Datos!K17,Datos!K17+Datos!AE17)),IF(D_I="SI",Datos!K17,Datos!K17+Datos!AE17)," - ")</f>
        <v>1038</v>
      </c>
      <c r="G17" s="1390" t="str">
        <f>IF(Datos!E17&lt;&gt;"",Datos!E17,Datos!D17)</f>
        <v>04</v>
      </c>
      <c r="H17" s="241">
        <f>IF(ISNUMBER(IF(D_I="SI",Datos!L17,Datos!L17+Datos!AF17)),IF(D_I="SI",Datos!L17,Datos!L17+Datos!AF17)," - ")</f>
        <v>2070</v>
      </c>
      <c r="I17" s="1400" t="str">
        <f>IF(ISNUMBER(Datos!AS17/Datos!BM17),Datos!AS17/Datos!BM17," - ")</f>
        <v xml:space="preserve"> - </v>
      </c>
      <c r="J17" s="1401">
        <f>IF(ISNUMBER(Datos!BY17/Datos!CN17),Datos!BY17/Datos!CN17," - ")</f>
        <v>0</v>
      </c>
      <c r="K17" s="244">
        <f t="shared" si="3"/>
        <v>2.4213075060532689E-3</v>
      </c>
      <c r="L17" s="1402">
        <f>IF(ISNUMBER(NºAsuntos!I17/NºAsuntos!G17),(NºAsuntos!I17/NºAsuntos!G17)*11," - ")</f>
        <v>21.936416184971097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104</v>
      </c>
      <c r="F18" s="240">
        <f>IF(ISNUMBER(IF(D_I="SI",Datos!K18,Datos!K18+Datos!AE18)),IF(D_I="SI",Datos!K18,Datos!K18+Datos!AE18)," - ")</f>
        <v>132</v>
      </c>
      <c r="G18" s="1390" t="str">
        <f>IF(Datos!E18&lt;&gt;"",Datos!E18,Datos!D18)</f>
        <v>37</v>
      </c>
      <c r="H18" s="241">
        <f>IF(ISNUMBER(IF(D_I="SI",Datos!L18,Datos!L18+Datos!AF18)),IF(D_I="SI",Datos!L18,Datos!L18+Datos!AF18)," - ")</f>
        <v>119</v>
      </c>
      <c r="I18" s="1400" t="str">
        <f>IF(ISNUMBER(Datos!AS18/Datos!BM18),Datos!AS18/Datos!BM18," - ")</f>
        <v xml:space="preserve"> - </v>
      </c>
      <c r="J18" s="1401" t="str">
        <f>IF(ISNUMBER((Datos!BY18+Datos!BZ18)/Datos!CN18),(Datos!BY18+Datos!BZ18)/Datos!CN18," - ")</f>
        <v xml:space="preserve"> - </v>
      </c>
      <c r="K18" s="244">
        <f t="shared" si="3"/>
        <v>-0.19047619047619047</v>
      </c>
      <c r="L18" s="1402">
        <f>IF(ISNUMBER(NºAsuntos!I18/NºAsuntos!G18),(NºAsuntos!I18/NºAsuntos!G18)*11," - ")</f>
        <v>9.9166666666666661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2212</v>
      </c>
      <c r="D23" s="1407">
        <f>SUBTOTAL(9,D16:D22)</f>
        <v>2185</v>
      </c>
      <c r="E23" s="1408">
        <f>SUBTOTAL(9,E16:E22)</f>
        <v>1147</v>
      </c>
      <c r="F23" s="1408">
        <f>SUBTOTAL(9,F16:F22)</f>
        <v>1170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2240</v>
      </c>
      <c r="D31" s="1435">
        <f>SUBTOTAL(9,D9:D30)</f>
        <v>2213</v>
      </c>
      <c r="E31" s="1436">
        <f>SUBTOTAL(9,E9:E30)</f>
        <v>1158</v>
      </c>
      <c r="F31" s="1436">
        <f>SUBTOTAL(9,F9:F30)</f>
        <v>1184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v7UmD463oTc3EssybMrjKFuwdhnnAUTFds9URG3nMlkX+Zp9eOq20v/e8x6LEqlXonnSWE83WhQ6or987MrGw==" saltValue="hWUryBad79YjnId4V4e0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XrbkkWBEAvQQTOgyRhQmm6DeeRwWoi0jBbvKKmlVadEl656YJDI+xgHqzatvqMAIUR8F7/FZxsj9ZWL358MQ==" saltValue="CTVLC07QzjKnrkdHU1oI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11</v>
      </c>
      <c r="K10" s="194">
        <v>14</v>
      </c>
      <c r="L10" s="194">
        <v>25</v>
      </c>
      <c r="M10" s="194">
        <v>7</v>
      </c>
      <c r="N10" s="194">
        <v>7</v>
      </c>
      <c r="O10" s="194">
        <v>0</v>
      </c>
      <c r="P10" s="194">
        <v>0</v>
      </c>
      <c r="Q10" s="194">
        <v>0</v>
      </c>
      <c r="R10" s="194">
        <v>41</v>
      </c>
      <c r="S10" s="194">
        <v>53</v>
      </c>
      <c r="T10" s="194">
        <v>5</v>
      </c>
      <c r="U10" s="194">
        <v>4</v>
      </c>
      <c r="V10" s="194">
        <v>54</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53</v>
      </c>
      <c r="AZ10" s="139">
        <f t="shared" si="0"/>
        <v>5</v>
      </c>
      <c r="BA10" s="139">
        <f t="shared" si="0"/>
        <v>4</v>
      </c>
      <c r="BB10" s="139">
        <f t="shared" si="0"/>
        <v>54</v>
      </c>
      <c r="BC10" s="135">
        <f t="shared" si="0"/>
        <v>4</v>
      </c>
      <c r="BD10" s="136">
        <f>IF(ISNUMBER(BA10/AZ10),BA10/AZ10," - ")</f>
        <v>0.8</v>
      </c>
      <c r="BE10" s="137">
        <f>IF(ISNUMBER(BB10/BA10),BB10/BA10, " - ")</f>
        <v>13.5</v>
      </c>
      <c r="BF10" s="137">
        <f>IF(ISNUMBER(BC10/BA10),BC10/BA10, " - ")</f>
        <v>1</v>
      </c>
      <c r="BG10" s="209">
        <f>IF(ISNUMBER((AY10+AZ10)/BA10),(AY10+AZ10)/BA10," - ")</f>
        <v>14.5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3869</v>
      </c>
      <c r="J12" s="196">
        <v>1310</v>
      </c>
      <c r="K12" s="196">
        <v>1587</v>
      </c>
      <c r="L12" s="196">
        <v>3599</v>
      </c>
      <c r="M12" s="196">
        <v>342</v>
      </c>
      <c r="N12" s="196">
        <v>634</v>
      </c>
      <c r="O12" s="194">
        <v>539</v>
      </c>
      <c r="P12" s="196">
        <v>384</v>
      </c>
      <c r="Q12" s="196">
        <v>283</v>
      </c>
      <c r="R12" s="196">
        <v>5598</v>
      </c>
      <c r="S12" s="196">
        <v>4016</v>
      </c>
      <c r="T12" s="196">
        <v>1243</v>
      </c>
      <c r="U12" s="196">
        <v>1178</v>
      </c>
      <c r="V12" s="196">
        <v>4086</v>
      </c>
      <c r="W12" s="196">
        <v>251</v>
      </c>
      <c r="X12" s="202">
        <v>389</v>
      </c>
      <c r="Y12" s="204">
        <v>47</v>
      </c>
      <c r="Z12" s="194">
        <v>127</v>
      </c>
      <c r="AA12" s="194">
        <v>118</v>
      </c>
      <c r="AB12" s="194">
        <v>56</v>
      </c>
      <c r="AC12" s="196">
        <v>0</v>
      </c>
      <c r="AD12" s="196">
        <v>0</v>
      </c>
      <c r="AE12" s="196">
        <v>0</v>
      </c>
      <c r="AF12" s="202">
        <v>0</v>
      </c>
      <c r="AG12" s="215">
        <v>66</v>
      </c>
      <c r="AH12" s="196">
        <v>174</v>
      </c>
      <c r="AI12" s="196">
        <v>124</v>
      </c>
      <c r="AJ12" s="216">
        <v>116</v>
      </c>
      <c r="AK12" s="195">
        <v>0</v>
      </c>
      <c r="AL12" s="196">
        <v>0</v>
      </c>
      <c r="AM12" s="196">
        <v>0</v>
      </c>
      <c r="AN12" s="202">
        <v>0</v>
      </c>
      <c r="AO12" s="283">
        <v>6</v>
      </c>
      <c r="AP12" s="168">
        <v>6</v>
      </c>
      <c r="AQ12" s="168">
        <v>6</v>
      </c>
      <c r="AR12" s="167">
        <v>6</v>
      </c>
      <c r="AS12" s="381" t="s">
        <v>1075</v>
      </c>
      <c r="AT12" s="216"/>
      <c r="AU12" s="215"/>
      <c r="AV12" s="216"/>
      <c r="AW12" s="215"/>
      <c r="AX12" s="216"/>
      <c r="AY12" s="136">
        <f t="shared" si="1"/>
        <v>4082</v>
      </c>
      <c r="AZ12" s="137">
        <f t="shared" si="1"/>
        <v>1417</v>
      </c>
      <c r="BA12" s="137">
        <f t="shared" si="1"/>
        <v>1302</v>
      </c>
      <c r="BB12" s="137">
        <f t="shared" si="1"/>
        <v>4202</v>
      </c>
      <c r="BC12" s="135">
        <f>IF(ISNUMBER(X12),X12," - ")</f>
        <v>389</v>
      </c>
      <c r="BD12" s="136">
        <f t="shared" si="2"/>
        <v>0.91884262526464366</v>
      </c>
      <c r="BE12" s="137">
        <f t="shared" si="3"/>
        <v>3.2273425499231951</v>
      </c>
      <c r="BF12" s="137">
        <f t="shared" si="4"/>
        <v>0.29877112135176653</v>
      </c>
      <c r="BG12" s="209">
        <f t="shared" si="5"/>
        <v>4.2235023041474653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3897</v>
      </c>
      <c r="J14" s="197">
        <f t="shared" si="7"/>
        <v>1321</v>
      </c>
      <c r="K14" s="197">
        <f t="shared" si="7"/>
        <v>1601</v>
      </c>
      <c r="L14" s="197">
        <f t="shared" si="7"/>
        <v>3624</v>
      </c>
      <c r="M14" s="197">
        <f t="shared" si="7"/>
        <v>349</v>
      </c>
      <c r="N14" s="197">
        <f t="shared" si="7"/>
        <v>641</v>
      </c>
      <c r="O14" s="197">
        <f t="shared" si="7"/>
        <v>539</v>
      </c>
      <c r="P14" s="197">
        <f t="shared" si="7"/>
        <v>384</v>
      </c>
      <c r="Q14" s="197">
        <f t="shared" si="7"/>
        <v>283</v>
      </c>
      <c r="R14" s="197">
        <f t="shared" si="7"/>
        <v>5639</v>
      </c>
      <c r="S14" s="197">
        <f t="shared" si="7"/>
        <v>4069</v>
      </c>
      <c r="T14" s="197">
        <f t="shared" si="7"/>
        <v>1248</v>
      </c>
      <c r="U14" s="197">
        <f t="shared" si="7"/>
        <v>1182</v>
      </c>
      <c r="V14" s="197">
        <f t="shared" si="7"/>
        <v>4140</v>
      </c>
      <c r="W14" s="197">
        <f t="shared" si="7"/>
        <v>255</v>
      </c>
      <c r="X14" s="197">
        <f t="shared" si="7"/>
        <v>389</v>
      </c>
      <c r="Y14" s="197">
        <f t="shared" si="7"/>
        <v>47</v>
      </c>
      <c r="Z14" s="197">
        <f t="shared" si="7"/>
        <v>127</v>
      </c>
      <c r="AA14" s="197">
        <f t="shared" si="7"/>
        <v>118</v>
      </c>
      <c r="AB14" s="197">
        <f t="shared" si="7"/>
        <v>56</v>
      </c>
      <c r="AC14" s="197">
        <f t="shared" si="7"/>
        <v>0</v>
      </c>
      <c r="AD14" s="197">
        <f t="shared" si="7"/>
        <v>0</v>
      </c>
      <c r="AE14" s="197">
        <f t="shared" si="7"/>
        <v>0</v>
      </c>
      <c r="AF14" s="197">
        <f>SUBTOTAL(9,AF9:AF13)</f>
        <v>0</v>
      </c>
      <c r="AG14" s="197">
        <f t="shared" ref="AG14:AT14" si="8">SUBTOTAL(9,AG8:AG13)</f>
        <v>66</v>
      </c>
      <c r="AH14" s="197">
        <f t="shared" si="8"/>
        <v>174</v>
      </c>
      <c r="AI14" s="197">
        <f t="shared" si="8"/>
        <v>124</v>
      </c>
      <c r="AJ14" s="197">
        <f t="shared" si="8"/>
        <v>116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4135</v>
      </c>
      <c r="AZ14" s="197">
        <f>SUBTOTAL(9,AZ8:AZ13)</f>
        <v>1422</v>
      </c>
      <c r="BA14" s="197">
        <f>SUBTOTAL(9,BA8:BA13)</f>
        <v>1306</v>
      </c>
      <c r="BB14" s="197">
        <f>SUBTOTAL(9,BB8:BB13)</f>
        <v>4256</v>
      </c>
      <c r="BC14" s="197">
        <f>SUBTOTAL(9,BC8:BC13)</f>
        <v>393</v>
      </c>
      <c r="BD14" s="219">
        <f>IF(ISNUMBER(BA14/AZ14),BA14/AZ14," - ")</f>
        <v>0.91842475386779188</v>
      </c>
      <c r="BE14" s="220">
        <f>IF(ISNUMBER(BB14/BA14),BB14/BA14, " - ")</f>
        <v>3.2588055130168452</v>
      </c>
      <c r="BF14" s="220">
        <f>IF(ISNUMBER(BC14/BA14),BC14/BA14, " - ")</f>
        <v>0.30091883614088821</v>
      </c>
      <c r="BG14" s="221">
        <f>IF(ISNUMBER((AY14+AZ14)/BA14),(AY14+AZ14)/BA14," - ")</f>
        <v>4.2549770290964775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2038</v>
      </c>
      <c r="J17" s="196">
        <v>1043</v>
      </c>
      <c r="K17" s="196">
        <v>1038</v>
      </c>
      <c r="L17" s="196">
        <v>2070</v>
      </c>
      <c r="M17" s="196">
        <v>265</v>
      </c>
      <c r="N17" s="196">
        <v>440</v>
      </c>
      <c r="O17" s="194">
        <v>11</v>
      </c>
      <c r="P17" s="196">
        <v>62</v>
      </c>
      <c r="Q17" s="196">
        <v>43</v>
      </c>
      <c r="R17" s="196">
        <v>337</v>
      </c>
      <c r="S17" s="196">
        <v>2255</v>
      </c>
      <c r="T17" s="196">
        <v>1007</v>
      </c>
      <c r="U17" s="196">
        <v>1109</v>
      </c>
      <c r="V17" s="196">
        <v>2158</v>
      </c>
      <c r="W17" s="196">
        <v>190</v>
      </c>
      <c r="X17" s="202">
        <v>638</v>
      </c>
      <c r="Y17" s="215">
        <v>0</v>
      </c>
      <c r="Z17" s="196">
        <v>0</v>
      </c>
      <c r="AA17" s="196">
        <v>0</v>
      </c>
      <c r="AB17" s="196">
        <v>0</v>
      </c>
      <c r="AC17" s="196">
        <v>147</v>
      </c>
      <c r="AD17" s="196">
        <v>222</v>
      </c>
      <c r="AE17" s="196">
        <v>131</v>
      </c>
      <c r="AF17" s="202">
        <v>238</v>
      </c>
      <c r="AG17" s="215">
        <v>0</v>
      </c>
      <c r="AH17" s="196">
        <v>0</v>
      </c>
      <c r="AI17" s="196">
        <v>0</v>
      </c>
      <c r="AJ17" s="216">
        <v>0</v>
      </c>
      <c r="AK17" s="195">
        <v>0</v>
      </c>
      <c r="AL17" s="196">
        <v>10</v>
      </c>
      <c r="AM17" s="196">
        <v>10</v>
      </c>
      <c r="AN17" s="202">
        <v>0</v>
      </c>
      <c r="AO17" s="283">
        <v>6</v>
      </c>
      <c r="AP17" s="168">
        <v>6</v>
      </c>
      <c r="AQ17" s="168">
        <v>6</v>
      </c>
      <c r="AR17" s="168">
        <v>6</v>
      </c>
      <c r="AS17" s="381" t="s">
        <v>650</v>
      </c>
      <c r="AT17" s="216"/>
      <c r="AU17" s="215"/>
      <c r="AV17" s="216"/>
      <c r="AW17" s="215"/>
      <c r="AX17" s="216"/>
      <c r="AY17" s="136">
        <f t="shared" si="10"/>
        <v>2255</v>
      </c>
      <c r="AZ17" s="137">
        <f t="shared" si="10"/>
        <v>1007</v>
      </c>
      <c r="BA17" s="137">
        <f t="shared" si="10"/>
        <v>1109</v>
      </c>
      <c r="BB17" s="137">
        <f t="shared" si="10"/>
        <v>2158</v>
      </c>
      <c r="BC17" s="135">
        <f>IF(ISNUMBER(W17),W17," - ")</f>
        <v>190</v>
      </c>
      <c r="BD17" s="136">
        <f t="shared" ref="BD17:BD22" si="12">IF(ISNUMBER(BA17/AZ17),BA17/AZ17," - ")</f>
        <v>1.1012909632571997</v>
      </c>
      <c r="BE17" s="137">
        <f t="shared" ref="BE17:BE22" si="13">IF(ISNUMBER(BB17/BA17),BB17/BA17, " - ")</f>
        <v>1.9458972046889089</v>
      </c>
      <c r="BF17" s="137">
        <f t="shared" ref="BF17:BF22" si="14">IF(ISNUMBER(BC17/BA17),BC17/BA17, " - ")</f>
        <v>0.17132551848512173</v>
      </c>
      <c r="BG17" s="209">
        <f t="shared" si="11"/>
        <v>2.9413886384129846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104</v>
      </c>
      <c r="K18" s="196">
        <v>132</v>
      </c>
      <c r="L18" s="196">
        <v>119</v>
      </c>
      <c r="M18" s="196">
        <v>23</v>
      </c>
      <c r="N18" s="196">
        <v>71</v>
      </c>
      <c r="O18" s="196">
        <v>1</v>
      </c>
      <c r="P18" s="196">
        <v>0</v>
      </c>
      <c r="Q18" s="196">
        <v>1</v>
      </c>
      <c r="R18" s="196">
        <v>2</v>
      </c>
      <c r="S18" s="196">
        <v>256</v>
      </c>
      <c r="T18" s="196">
        <v>96</v>
      </c>
      <c r="U18" s="196">
        <v>70</v>
      </c>
      <c r="V18" s="196">
        <v>282</v>
      </c>
      <c r="W18" s="196">
        <v>9</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256</v>
      </c>
      <c r="AZ18" s="139">
        <f t="shared" si="15"/>
        <v>96</v>
      </c>
      <c r="BA18" s="139">
        <f t="shared" si="15"/>
        <v>70</v>
      </c>
      <c r="BB18" s="139">
        <f t="shared" si="15"/>
        <v>282</v>
      </c>
      <c r="BC18" s="135">
        <f>IF(ISNUMBER(W18),W18," - ")</f>
        <v>9</v>
      </c>
      <c r="BD18" s="136">
        <f>IF(ISNUMBER(BA18/AZ18),BA18/AZ18," - ")</f>
        <v>0.72916666666666663</v>
      </c>
      <c r="BE18" s="137">
        <f>IF(ISNUMBER(BB18/BA18),BB18/BA18, " - ")</f>
        <v>4.0285714285714285</v>
      </c>
      <c r="BF18" s="137">
        <f>IF(ISNUMBER(BC18/BA18),BC18/BA18, " - ")</f>
        <v>0.12857142857142856</v>
      </c>
      <c r="BG18" s="209">
        <f>IF(ISNUMBER((AY18+AZ18)/BA18),(AY18+AZ18)/BA18," - ")</f>
        <v>5.0285714285714285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2185</v>
      </c>
      <c r="J23" s="197">
        <f t="shared" si="21"/>
        <v>1147</v>
      </c>
      <c r="K23" s="197">
        <f t="shared" si="21"/>
        <v>1170</v>
      </c>
      <c r="L23" s="197">
        <f t="shared" si="21"/>
        <v>2189</v>
      </c>
      <c r="M23" s="197">
        <f t="shared" si="21"/>
        <v>288</v>
      </c>
      <c r="N23" s="197">
        <f t="shared" si="21"/>
        <v>511</v>
      </c>
      <c r="O23" s="197">
        <f t="shared" si="21"/>
        <v>12</v>
      </c>
      <c r="P23" s="197">
        <f t="shared" si="21"/>
        <v>62</v>
      </c>
      <c r="Q23" s="197">
        <f t="shared" si="21"/>
        <v>44</v>
      </c>
      <c r="R23" s="197">
        <f t="shared" si="21"/>
        <v>339</v>
      </c>
      <c r="S23" s="197">
        <f t="shared" si="21"/>
        <v>2511</v>
      </c>
      <c r="T23" s="197">
        <f t="shared" si="21"/>
        <v>1103</v>
      </c>
      <c r="U23" s="197">
        <f t="shared" si="21"/>
        <v>1179</v>
      </c>
      <c r="V23" s="197">
        <f t="shared" si="21"/>
        <v>2440</v>
      </c>
      <c r="W23" s="197">
        <f t="shared" si="21"/>
        <v>199</v>
      </c>
      <c r="X23" s="197">
        <f t="shared" si="21"/>
        <v>673</v>
      </c>
      <c r="Y23" s="197">
        <f t="shared" si="21"/>
        <v>0</v>
      </c>
      <c r="Z23" s="197">
        <f t="shared" si="21"/>
        <v>0</v>
      </c>
      <c r="AA23" s="197">
        <f t="shared" si="21"/>
        <v>0</v>
      </c>
      <c r="AB23" s="197">
        <f t="shared" si="21"/>
        <v>0</v>
      </c>
      <c r="AC23" s="197">
        <f t="shared" si="21"/>
        <v>147</v>
      </c>
      <c r="AD23" s="197">
        <f t="shared" si="21"/>
        <v>222</v>
      </c>
      <c r="AE23" s="197">
        <f t="shared" si="21"/>
        <v>131</v>
      </c>
      <c r="AF23" s="197">
        <f t="shared" si="21"/>
        <v>238</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2511</v>
      </c>
      <c r="AZ23" s="197">
        <f>SUBTOTAL(9,AZ15:AZ22)</f>
        <v>1103</v>
      </c>
      <c r="BA23" s="197">
        <f>SUBTOTAL(9,BA15:BA22)</f>
        <v>1179</v>
      </c>
      <c r="BB23" s="197">
        <f>SUBTOTAL(9,BB15:BB22)</f>
        <v>2440</v>
      </c>
      <c r="BC23" s="197">
        <f>SUBTOTAL(9,BC15:BC22)</f>
        <v>199</v>
      </c>
      <c r="BD23" s="219">
        <f>IF(ISNUMBER(BA23/AZ23),BA23/AZ23," - ")</f>
        <v>1.0689029918404351</v>
      </c>
      <c r="BE23" s="220">
        <f>IF(ISNUMBER(BB23/BA23),BB23/BA23, " - ")</f>
        <v>2.0695504664970312</v>
      </c>
      <c r="BF23" s="220">
        <f>IF(ISNUMBER(BC23/BA23),BC23/BA23, " - ")</f>
        <v>0.16878710771840544</v>
      </c>
      <c r="BG23" s="221">
        <f>IF(ISNUMBER((AY23+AZ23)/BA23),(AY23+AZ23)/BA23," - ")</f>
        <v>3.0653095843935541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6082</v>
      </c>
      <c r="J31" s="144">
        <f t="shared" si="36"/>
        <v>2468</v>
      </c>
      <c r="K31" s="144">
        <f t="shared" si="36"/>
        <v>2771</v>
      </c>
      <c r="L31" s="144">
        <f t="shared" si="36"/>
        <v>5813</v>
      </c>
      <c r="M31" s="144">
        <f t="shared" si="36"/>
        <v>637</v>
      </c>
      <c r="N31" s="144">
        <f t="shared" si="36"/>
        <v>1152</v>
      </c>
      <c r="O31" s="144">
        <f t="shared" si="36"/>
        <v>551</v>
      </c>
      <c r="P31" s="144">
        <f t="shared" si="36"/>
        <v>446</v>
      </c>
      <c r="Q31" s="144">
        <f t="shared" si="36"/>
        <v>327</v>
      </c>
      <c r="R31" s="144">
        <f t="shared" si="36"/>
        <v>5978</v>
      </c>
      <c r="S31" s="144">
        <f t="shared" si="36"/>
        <v>6580</v>
      </c>
      <c r="T31" s="144">
        <f t="shared" si="36"/>
        <v>2351</v>
      </c>
      <c r="U31" s="144">
        <f t="shared" si="36"/>
        <v>2361</v>
      </c>
      <c r="V31" s="144">
        <f t="shared" si="36"/>
        <v>6580</v>
      </c>
      <c r="W31" s="144">
        <f t="shared" si="36"/>
        <v>454</v>
      </c>
      <c r="X31" s="144">
        <f t="shared" si="36"/>
        <v>1062</v>
      </c>
      <c r="Y31" s="144">
        <f t="shared" si="36"/>
        <v>47</v>
      </c>
      <c r="Z31" s="144">
        <f t="shared" si="36"/>
        <v>127</v>
      </c>
      <c r="AA31" s="144">
        <f t="shared" si="36"/>
        <v>118</v>
      </c>
      <c r="AB31" s="144">
        <f t="shared" si="36"/>
        <v>56</v>
      </c>
      <c r="AC31" s="144">
        <f t="shared" si="36"/>
        <v>147</v>
      </c>
      <c r="AD31" s="144">
        <f t="shared" si="36"/>
        <v>222</v>
      </c>
      <c r="AE31" s="144">
        <f t="shared" si="36"/>
        <v>131</v>
      </c>
      <c r="AF31" s="144">
        <f t="shared" si="36"/>
        <v>238</v>
      </c>
      <c r="AG31" s="144">
        <f t="shared" si="36"/>
        <v>66</v>
      </c>
      <c r="AH31" s="144">
        <f t="shared" si="36"/>
        <v>174</v>
      </c>
      <c r="AI31" s="144">
        <f t="shared" si="36"/>
        <v>124</v>
      </c>
      <c r="AJ31" s="144">
        <f t="shared" si="36"/>
        <v>116</v>
      </c>
      <c r="AK31" s="144">
        <f t="shared" si="36"/>
        <v>0</v>
      </c>
      <c r="AL31" s="144">
        <f t="shared" si="36"/>
        <v>10</v>
      </c>
      <c r="AM31" s="144">
        <f t="shared" si="36"/>
        <v>10</v>
      </c>
      <c r="AN31" s="224">
        <f t="shared" si="36"/>
        <v>0</v>
      </c>
      <c r="AO31" s="225">
        <v>7</v>
      </c>
      <c r="AP31" s="225">
        <v>6</v>
      </c>
      <c r="AQ31" s="225">
        <v>6</v>
      </c>
      <c r="AR31" s="225">
        <v>6</v>
      </c>
      <c r="AS31" s="166">
        <f t="shared" si="36"/>
        <v>0</v>
      </c>
      <c r="AT31" s="166">
        <f t="shared" si="36"/>
        <v>0</v>
      </c>
      <c r="AU31" s="225"/>
      <c r="AV31" s="226"/>
      <c r="AW31" s="225"/>
      <c r="AX31" s="226"/>
      <c r="AY31" s="143">
        <f>SUBTOTAL(9,AY9:AY30)</f>
        <v>6646</v>
      </c>
      <c r="AZ31" s="144">
        <f>SUBTOTAL(9,AZ9:AZ30)</f>
        <v>2525</v>
      </c>
      <c r="BA31" s="144">
        <f>SUBTOTAL(9,BA9:BA30)</f>
        <v>2485</v>
      </c>
      <c r="BB31" s="144">
        <f>SUBTOTAL(9,BB9:BB30)</f>
        <v>6696</v>
      </c>
      <c r="BC31" s="145">
        <f>SUBTOTAL(9,BC9:BC30)</f>
        <v>592</v>
      </c>
      <c r="BD31" s="227">
        <f>IF(ISNUMBER(BA31/AZ31),BA31/AZ31," - ")</f>
        <v>0.98415841584158414</v>
      </c>
      <c r="BE31" s="224">
        <f>IF(ISNUMBER(BB31/BA31),BB31/BA31, " - ")</f>
        <v>2.6945674044265595</v>
      </c>
      <c r="BF31" s="224">
        <f>IF(ISNUMBER(BC31/BA31),BC31/BA31, " - ")</f>
        <v>0.23822937625754528</v>
      </c>
      <c r="BG31" s="145">
        <f>IF(ISNUMBER((AY31+AZ31)/BA31),(AY31+AZ31)/BA31," - ")</f>
        <v>3.690543259557344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crzfjvM5OWEG1+xYwOzFuK/KwJhc0T0wkoubYLRLA8wR/bJOJUcP8KqZ7fgWrNYg0K0DoDTVxQ0pKBv5Xo9xw==" saltValue="DSJm1UJpLQE7FLtBsB2t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tRYfUGJ2h6VwlhhPAt0SELk8xr6Cm8B6QVS4A5yAYNsDtYygrvZpm+Putw8lcr2IanLdaMlgJbc7yqWytU7dA==" saltValue="zfP21Vf8GFd2C35x7rNw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CHICLANA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25</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7</v>
      </c>
      <c r="BE10" s="693" t="str">
        <f>IF(ISNUMBER(Datos!BW10),Datos!BW10," - ")</f>
        <v xml:space="preserve"> - </v>
      </c>
      <c r="BF10" s="762" t="str">
        <f>IF(ISNUMBER(Datos!BX10),Datos!BX10," - ")</f>
        <v xml:space="preserve"> - </v>
      </c>
      <c r="BG10" s="763">
        <f>IF(ISNUMBER(Datos!K10/Datos!J10),Datos!K10/Datos!J10," - ")</f>
        <v>1.2727272727272727</v>
      </c>
      <c r="BH10" s="764">
        <f>IF(ISNUMBER(((Datos!L10/Datos!K10)*11)/factor_trimestre),((Datos!L10/Datos!K10)*11)/factor_trimestre," - ")</f>
        <v>5.3571428571428577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127</v>
      </c>
      <c r="O12" s="549"/>
      <c r="P12" s="549"/>
      <c r="Q12" s="547">
        <f>IF(ISNUMBER(Datos!P12),Datos!P12,0)</f>
        <v>384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5598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342</v>
      </c>
      <c r="BD12" s="693">
        <f>IF(ISNUMBER(Datos!N12),Datos!N12," - ")</f>
        <v>634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1.1864996520528879</v>
      </c>
      <c r="BH12" s="764">
        <f>IF(ISNUMBER(((IF(J_V="SI",Datos!L12/Datos!K12,(Datos!L12+Datos!AB12)/(Datos!K12+Datos!AA12)))*11)/factor_trimestre),((IF(J_V="SI",Datos!L12/Datos!K12,(Datos!L12+Datos!AB12)/(Datos!K12+Datos!AA12)))*11)/factor_trimestre," - ")</f>
        <v>6.4310850439882694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1.8373658359104966E-2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127</v>
      </c>
      <c r="O14" s="1199">
        <f t="shared" si="1"/>
        <v>0</v>
      </c>
      <c r="P14" s="1199">
        <f t="shared" si="1"/>
        <v>0</v>
      </c>
      <c r="Q14" s="1198">
        <f t="shared" si="1"/>
        <v>384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283</v>
      </c>
      <c r="AD14" s="1198">
        <f t="shared" si="2"/>
        <v>0</v>
      </c>
      <c r="AE14" s="1198">
        <f t="shared" si="2"/>
        <v>0</v>
      </c>
      <c r="AF14" s="1198">
        <f t="shared" si="2"/>
        <v>25</v>
      </c>
      <c r="AG14" s="1198">
        <f t="shared" si="2"/>
        <v>0</v>
      </c>
      <c r="AH14" s="1198">
        <f t="shared" si="2"/>
        <v>56</v>
      </c>
      <c r="AI14" s="1198">
        <f t="shared" si="2"/>
        <v>0</v>
      </c>
      <c r="AJ14" s="1198">
        <f t="shared" si="2"/>
        <v>0</v>
      </c>
      <c r="AK14" s="1198">
        <f t="shared" si="2"/>
        <v>0</v>
      </c>
      <c r="AL14" s="1198">
        <f t="shared" si="2"/>
        <v>0</v>
      </c>
      <c r="AM14" s="1198">
        <f t="shared" si="2"/>
        <v>5639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349</v>
      </c>
      <c r="BD14" s="1198">
        <f t="shared" si="2"/>
        <v>641</v>
      </c>
      <c r="BE14" s="1198">
        <f t="shared" si="2"/>
        <v>0</v>
      </c>
      <c r="BF14" s="1198">
        <f t="shared" si="2"/>
        <v>0</v>
      </c>
      <c r="BG14" s="1198">
        <f>IF(ISNUMBER(Datos!K14/Datos!J14),Datos!K14/Datos!J14," - ")</f>
        <v>1.2119606358819077</v>
      </c>
      <c r="BH14" s="1202">
        <f>IF(ISNUMBER(((Datos!L14/Datos!K14)*11)/factor_trimestre),((Datos!L14/Datos!K14)*11)/factor_trimestre," - ")</f>
        <v>6.7907557776389753</v>
      </c>
      <c r="BI14" s="1198">
        <f>IF(ISNUMBER('Resol  Asuntos'!D14/NºAsuntos!G14),'Resol  Asuntos'!D14/NºAsuntos!G14," - ")</f>
        <v>0.20302501454333916</v>
      </c>
      <c r="BJ14" s="1198" t="str">
        <f>IF(ISNUMBER(Datos!CI14/Datos!CJ14),Datos!CI14/Datos!CJ14," - ")</f>
        <v xml:space="preserve"> - </v>
      </c>
      <c r="BK14" s="1198">
        <f>SUBTOTAL(9,BK8:BK13)</f>
        <v>0</v>
      </c>
      <c r="BL14" s="1198">
        <f>IF(ISNUMBER((I14-AB14+L14)/(F14)),(I14-AB14+L14)/(F14)," - ")</f>
        <v>-0.5</v>
      </c>
      <c r="BM14" s="1203">
        <f>SUBTOTAL(9,BM9:BM13)</f>
        <v>1.8373658359104966E-2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2065</v>
      </c>
      <c r="G17" s="743">
        <f>IF(ISNUMBER(IF(D_I="SI",Datos!I17,Datos!I17+Datos!AC17)),IF(D_I="SI",Datos!I17,Datos!I17+Datos!AC17)," - ")</f>
        <v>2038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1038</v>
      </c>
      <c r="AC17" s="240">
        <f>IF(ISNUMBER(Datos!Q17),Datos!Q17," - ")</f>
        <v>43</v>
      </c>
      <c r="AD17" s="374"/>
      <c r="AE17" s="562"/>
      <c r="AF17" s="741">
        <f>IF(ISNUMBER(IF(D_I="SI",Datos!L17,Datos!L17+Datos!AF17)),IF(D_I="SI",Datos!L17,Datos!L17+Datos!AF17)," - ")</f>
        <v>2070</v>
      </c>
      <c r="AG17" s="374"/>
      <c r="AH17" s="374"/>
      <c r="AI17" s="374"/>
      <c r="AJ17" s="549"/>
      <c r="AK17" s="374"/>
      <c r="AL17" s="545"/>
      <c r="AM17" s="375">
        <f>IF(ISNUMBER(Datos!R17),Datos!R17," - ")</f>
        <v>337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265</v>
      </c>
      <c r="BD17" s="243">
        <f>IF(ISNUMBER(Datos!N17),Datos!N17," - ")</f>
        <v>440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0.9952061361457335</v>
      </c>
      <c r="BH17" s="764">
        <f>IF(ISNUMBER(((IF(D_I="SI",Datos!L17/Datos!K17,(Datos!L17+Datos!AF17)/(Datos!K17+Datos!AE17)))*11)/factor_trimestre),((IF(D_I="SI",Datos!L17/Datos!K17,(Datos!L17+Datos!AF17)/(Datos!K17+Datos!AE17)))*11)/factor_trimestre," - ")</f>
        <v>5.9826589595375719</v>
      </c>
      <c r="BI17" s="266">
        <f>IF(ISNUMBER('Resol  Asuntos'!D17/NºAsuntos!G17),'Resol  Asuntos'!D17/NºAsuntos!G17," - ")</f>
        <v>0.25529865125240847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132</v>
      </c>
      <c r="AC18" s="547">
        <f>IF(ISNUMBER(Datos!Q18),Datos!Q18," - ")</f>
        <v>1</v>
      </c>
      <c r="AD18" s="549"/>
      <c r="AE18" s="562"/>
      <c r="AF18" s="551">
        <f>IF(ISNUMBER(Datos!L18),Datos!L18,"-")</f>
        <v>119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1.2692307692307692</v>
      </c>
      <c r="BH18" s="764">
        <f>IF(ISNUMBER(((IF(D_I="SI",Datos!L18/Datos!K18,(Datos!L18+Datos!AF18)/(Datos!K18+Datos!AE18)))*11)/factor_trimestre),((IF(D_I="SI",Datos!L18/Datos!K18,(Datos!L18+Datos!AF18)/(Datos!K18+Datos!AE18)))*11)/factor_trimestre," - ")</f>
        <v>2.7045454545454546</v>
      </c>
      <c r="BI18" s="763">
        <f>IF(ISNUMBER('Resol  Asuntos'!D18/NºAsuntos!G18),'Resol  Asuntos'!D18/NºAsuntos!G18," - ")</f>
        <v>0.17424242424242425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2065</v>
      </c>
      <c r="G23" s="1197">
        <f>SUBTOTAL(9,G16:G22)</f>
        <v>2185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1170</v>
      </c>
      <c r="AC23" s="1198">
        <f t="shared" si="5"/>
        <v>44</v>
      </c>
      <c r="AD23" s="1198">
        <f t="shared" si="5"/>
        <v>0</v>
      </c>
      <c r="AE23" s="1198">
        <f t="shared" si="5"/>
        <v>0</v>
      </c>
      <c r="AF23" s="1198">
        <f t="shared" si="5"/>
        <v>2189</v>
      </c>
      <c r="AG23" s="1198">
        <f t="shared" si="5"/>
        <v>0</v>
      </c>
      <c r="AH23" s="1198">
        <f t="shared" si="5"/>
        <v>0</v>
      </c>
      <c r="AI23" s="1198">
        <f t="shared" si="5"/>
        <v>0</v>
      </c>
      <c r="AJ23" s="1198">
        <f t="shared" si="5"/>
        <v>0</v>
      </c>
      <c r="AK23" s="1198">
        <f t="shared" si="5"/>
        <v>0</v>
      </c>
      <c r="AL23" s="1198">
        <f t="shared" si="5"/>
        <v>0</v>
      </c>
      <c r="AM23" s="1198">
        <f t="shared" si="5"/>
        <v>339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288</v>
      </c>
      <c r="BD23" s="1198">
        <f t="shared" si="5"/>
        <v>511</v>
      </c>
      <c r="BE23" s="1198">
        <f t="shared" si="5"/>
        <v>0</v>
      </c>
      <c r="BF23" s="1198">
        <f t="shared" si="5"/>
        <v>0</v>
      </c>
      <c r="BG23" s="1198">
        <f>IF(ISNUMBER(Datos!K23/Datos!J23),Datos!K23/Datos!J23," - ")</f>
        <v>1.0200523103748911</v>
      </c>
      <c r="BH23" s="1202">
        <f>IF(ISNUMBER(((Datos!L23/Datos!K23)*11)/factor_trimestre),((Datos!L23/Datos!K23)*11)/factor_trimestre," - ")</f>
        <v>5.6128205128205133</v>
      </c>
      <c r="BI23" s="1198">
        <f>SUBTOTAL(9,BI16:BI22)</f>
        <v>0.42954107549483272</v>
      </c>
      <c r="BJ23" s="1198">
        <f>SUBTOTAL(9,BJ16:BJ22)</f>
        <v>0</v>
      </c>
      <c r="BK23" s="1198">
        <f>SUBTOTAL(9,BK16:BK22)</f>
        <v>0</v>
      </c>
      <c r="BL23" s="1198">
        <f>IF(ISNUMBER((I23-AB23+L23)/(F23)),(I23-AB23+L23)/(F23)," - ")</f>
        <v>-0.56658595641646492</v>
      </c>
      <c r="BM23" s="1205">
        <f>IF(ISNUMBER((Datos!P23-Datos!Q23)/(Datos!R23-Datos!P23+Datos!Q23)),(Datos!P23-Datos!Q23)/(Datos!R23-Datos!P23+Datos!Q23)," - ")</f>
        <v>5.6074766355140186E-2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2093</v>
      </c>
      <c r="G31" s="1117">
        <f t="shared" si="18"/>
        <v>2213</v>
      </c>
      <c r="H31" s="1119">
        <f t="shared" si="18"/>
        <v>0</v>
      </c>
      <c r="I31" s="1117">
        <f t="shared" si="18"/>
        <v>0</v>
      </c>
      <c r="J31" s="1119">
        <f t="shared" si="18"/>
        <v>0</v>
      </c>
      <c r="K31" s="1119">
        <f t="shared" si="18"/>
        <v>0</v>
      </c>
      <c r="L31" s="1180">
        <f t="shared" si="18"/>
        <v>0</v>
      </c>
      <c r="M31" s="1180">
        <f t="shared" si="18"/>
        <v>0</v>
      </c>
      <c r="N31" s="1180">
        <f t="shared" si="18"/>
        <v>127</v>
      </c>
      <c r="O31" s="1180">
        <f t="shared" si="18"/>
        <v>0</v>
      </c>
      <c r="P31" s="1180">
        <f t="shared" si="18"/>
        <v>0</v>
      </c>
      <c r="Q31" s="1119">
        <f t="shared" si="18"/>
        <v>446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1184</v>
      </c>
      <c r="AC31" s="1118">
        <f t="shared" si="19"/>
        <v>327</v>
      </c>
      <c r="AD31" s="1118">
        <f t="shared" si="19"/>
        <v>0</v>
      </c>
      <c r="AE31" s="1118">
        <f t="shared" si="19"/>
        <v>0</v>
      </c>
      <c r="AF31" s="1125">
        <f t="shared" si="19"/>
        <v>2214</v>
      </c>
      <c r="AG31" s="1125">
        <f t="shared" si="19"/>
        <v>0</v>
      </c>
      <c r="AH31" s="1125">
        <f t="shared" si="19"/>
        <v>56</v>
      </c>
      <c r="AI31" s="1125">
        <f t="shared" si="19"/>
        <v>0</v>
      </c>
      <c r="AJ31" s="1118">
        <f t="shared" si="19"/>
        <v>0</v>
      </c>
      <c r="AK31" s="1125">
        <f t="shared" si="19"/>
        <v>0</v>
      </c>
      <c r="AL31" s="1125">
        <f t="shared" si="19"/>
        <v>0</v>
      </c>
      <c r="AM31" s="1125">
        <f t="shared" si="19"/>
        <v>5978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637</v>
      </c>
      <c r="BD31" s="1117">
        <f t="shared" si="19"/>
        <v>1152</v>
      </c>
      <c r="BE31" s="1117">
        <f t="shared" si="19"/>
        <v>0</v>
      </c>
      <c r="BF31" s="1127">
        <f t="shared" si="19"/>
        <v>0</v>
      </c>
      <c r="BG31" s="1223">
        <f>IF(ISNUMBER(Datos!K31/Datos!J31),Datos!K31/Datos!J31," - ")</f>
        <v>1.1227714748784441</v>
      </c>
      <c r="BH31" s="1223">
        <f>IF(ISNUMBER(((Datos!L31/Datos!K31)*11)/factor_trimestre),((Datos!L31/Datos!K31)*11)/factor_trimestre," - ")</f>
        <v>6.2933958859617469</v>
      </c>
      <c r="BI31" s="1103">
        <f>IF(ISNUMBER(Datos!J31/Datos!I31),Datos!J31/Datos!I31," - ")</f>
        <v>0.40578756987832948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-0.56569517439082662</v>
      </c>
      <c r="BM31" s="1188">
        <f>IF(ISNUMBER((Datos!P31-Datos!Q31+R31)/(Datos!R31-Datos!P31+Datos!Q31-R31)),(Datos!P31-Datos!Q31+R31)/(Datos!R31-Datos!P31+Datos!Q31-R31)," - ")</f>
        <v>2.0310633213859019E-2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1059.2058660461935</v>
      </c>
      <c r="G33" s="674">
        <f>IF(ISNUMBER(STDEV(G8:G30)),STDEV(G8:G30),"-")</f>
        <v>1012.6162014448374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526.48194470013698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164.58931574419665</v>
      </c>
      <c r="BD33" s="673"/>
      <c r="BE33" s="673">
        <f>IF(ISNUMBER(STDEV(BE8:BE30)),STDEV(BE8:BE30),"-")</f>
        <v>0</v>
      </c>
      <c r="BF33" s="678">
        <f>IF(ISNUMBER(STDEV(BF8:BF30)),STDEV(BF8:BF30),"-")</f>
        <v>0</v>
      </c>
      <c r="BG33" s="1052">
        <f>IF(ISNUMBER(STDEV(BG8:BG30)),STDEV(BG8:BG30),"-")</f>
        <v>0.12229488669210875</v>
      </c>
      <c r="BH33" s="1058">
        <f>IF(ISNUMBER(STDEV(BH8:BH30)),STDEV(BH8:BH30),"-")</f>
        <v>1.4567904746645173</v>
      </c>
      <c r="BI33" s="273">
        <f>IF(ISNUMBER(STDEV(BI8:BI30)),STDEV(BI8:BI30),"-")</f>
        <v>0.11437454267393925</v>
      </c>
      <c r="BJ33" s="244" t="str">
        <f>IF(ISNUMBER(BL33/BM33),BL33/BM33," - ")</f>
        <v xml:space="preserve"> - </v>
      </c>
      <c r="BK33" s="709"/>
      <c r="BL33" s="681">
        <f>IF(ISNUMBER(STDEV(BL8:BL30)),STDEV(BL8:BL30),"-")</f>
        <v>4.7083381313874247E-2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IJSxbFfTklChtCbSbknHaWuBkUOkYrxT0PGA9RDqmDgpaW2yNswmmHU5SFSGXtCC9IRGIhf9mIDD5q0Ae6S9Q==" saltValue="1LN3a4/2P6h/UF5Fqa+O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CHICLANA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25</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7</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283</v>
      </c>
      <c r="AA12" s="551" t="str">
        <f>IF(ISNUMBER(IF(J_V="SI",Datos!L12,Datos!L12+Datos!AB12)-IF(Monitorios="SI",Datos!CD12,0)),
                          IF(J_V="SI",Datos!L12,Datos!L12+Datos!AB12)-IF(Monitorios="SI",Datos!CD12,0),
                          " - ")</f>
        <v xml:space="preserve"> - </v>
      </c>
      <c r="AB12" s="549"/>
      <c r="AC12" s="549"/>
      <c r="AD12" s="563"/>
      <c r="AE12" s="563">
        <f>IF(ISNUMBER(Datos!R12),Datos!R12," - ")</f>
        <v>5598</v>
      </c>
      <c r="AF12" s="693" t="str">
        <f>IF(ISNUMBER(Datos!BV12),Datos!BV12," - ")</f>
        <v xml:space="preserve"> - </v>
      </c>
      <c r="AG12" s="552" t="str">
        <f>IF(ISNUMBER(Datos!DV12),Datos!DV12," - ")</f>
        <v xml:space="preserve"> - </v>
      </c>
      <c r="AH12" s="553"/>
      <c r="AI12" s="554"/>
      <c r="AJ12" s="552">
        <f>IF(ISNUMBER(Datos!M12),Datos!M12," - ")</f>
        <v>342</v>
      </c>
      <c r="AK12" s="693">
        <f>IF(ISNUMBER(Datos!N12),Datos!N12," - ")</f>
        <v>634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6.4310850439882694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1.8373658359104966E-2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384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283</v>
      </c>
      <c r="AA14" s="1199">
        <f t="shared" si="3"/>
        <v>25</v>
      </c>
      <c r="AB14" s="1199">
        <f t="shared" si="3"/>
        <v>0</v>
      </c>
      <c r="AC14" s="1199">
        <f t="shared" si="3"/>
        <v>0</v>
      </c>
      <c r="AD14" s="1199">
        <f t="shared" si="3"/>
        <v>0</v>
      </c>
      <c r="AE14" s="1199">
        <f t="shared" si="3"/>
        <v>5639</v>
      </c>
      <c r="AF14" s="1211">
        <f t="shared" si="3"/>
        <v>0</v>
      </c>
      <c r="AG14" s="1211">
        <f t="shared" si="3"/>
        <v>0</v>
      </c>
      <c r="AH14" s="1211">
        <f t="shared" si="3"/>
        <v>0</v>
      </c>
      <c r="AI14" s="1211">
        <f t="shared" si="3"/>
        <v>0</v>
      </c>
      <c r="AJ14" s="1211">
        <f t="shared" si="3"/>
        <v>349</v>
      </c>
      <c r="AK14" s="1211">
        <f t="shared" si="3"/>
        <v>641</v>
      </c>
      <c r="AL14" s="1211">
        <f t="shared" si="3"/>
        <v>0</v>
      </c>
      <c r="AM14" s="1211">
        <f t="shared" si="3"/>
        <v>0</v>
      </c>
      <c r="AN14" s="1211">
        <f t="shared" si="3"/>
        <v>0</v>
      </c>
      <c r="AO14" s="1203">
        <f>IF(ISNUMBER(((NºAsuntos!I14/NºAsuntos!G14)*11)/factor_trimestre),((NºAsuntos!I14/NºAsuntos!G14)*11)/factor_trimestre," - ")</f>
        <v>6.4223385689354275</v>
      </c>
      <c r="AP14" s="1213" t="str">
        <f>IF(ISNUMBER(Datos!CI14/Datos!CJ14),Datos!CI14/Datos!CJ14," - ")</f>
        <v xml:space="preserve"> - </v>
      </c>
      <c r="AQ14" s="1236">
        <f t="shared" ref="AQ14:AV14" si="4">SUBTOTAL(9,AQ9:AQ13)</f>
        <v>0</v>
      </c>
      <c r="AR14" s="1236">
        <f t="shared" si="4"/>
        <v>1.8373658359104966E-2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2065</v>
      </c>
      <c r="G17" s="552">
        <f>IF(ISNUMBER(IF(D_I="SI",Datos!I17,Datos!I17+Datos!AC17)),IF(D_I="SI",Datos!I17,Datos!I17+Datos!AC17)," - ")</f>
        <v>2038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1038</v>
      </c>
      <c r="Z17" s="805">
        <f>IF(ISNUMBER(Datos!Q17),Datos!Q17," - ")</f>
        <v>43</v>
      </c>
      <c r="AA17" s="551">
        <f>IF(ISNUMBER(IF(D_I="SI",Datos!L17,Datos!L17+Datos!AF17)),IF(D_I="SI",Datos!L17,Datos!L17+Datos!AF17)," - ")</f>
        <v>2070</v>
      </c>
      <c r="AB17" s="549"/>
      <c r="AC17" s="549"/>
      <c r="AD17" s="563"/>
      <c r="AE17" s="563">
        <f>IF(ISNUMBER(Datos!R17),Datos!R17," - ")</f>
        <v>337</v>
      </c>
      <c r="AF17" s="693" t="str">
        <f>IF(ISNUMBER(Datos!BV17),Datos!BV17," - ")</f>
        <v xml:space="preserve"> - </v>
      </c>
      <c r="AG17" s="552"/>
      <c r="AH17" s="553"/>
      <c r="AI17" s="554"/>
      <c r="AJ17" s="552">
        <f>IF(ISNUMBER(Datos!M17),Datos!M17," - ")</f>
        <v>265</v>
      </c>
      <c r="AK17" s="693">
        <f>IF(ISNUMBER(Datos!N17),Datos!N17," - ")</f>
        <v>440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5.9826589595375719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132</v>
      </c>
      <c r="Z18" s="805">
        <f>IF(ISNUMBER(Datos!Q18),Datos!Q18," - ")</f>
        <v>1</v>
      </c>
      <c r="AA18" s="551">
        <f>IF(ISNUMBER(Datos!L18),Datos!L18,"-")</f>
        <v>119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23</v>
      </c>
      <c r="AK18" s="693">
        <f>IF(ISNUMBER(Datos!N18),Datos!N18," - ")</f>
        <v>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2.7045454545454546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2065</v>
      </c>
      <c r="G23" s="1197">
        <f>SUBTOTAL(9,G16:G22)</f>
        <v>2185</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1170</v>
      </c>
      <c r="Z23" s="1240">
        <f t="shared" si="6"/>
        <v>44</v>
      </c>
      <c r="AA23" s="1240">
        <f t="shared" si="6"/>
        <v>2189</v>
      </c>
      <c r="AB23" s="1240">
        <f t="shared" si="6"/>
        <v>0</v>
      </c>
      <c r="AC23" s="1240">
        <f t="shared" si="6"/>
        <v>0</v>
      </c>
      <c r="AD23" s="1240">
        <f t="shared" si="6"/>
        <v>0</v>
      </c>
      <c r="AE23" s="1240">
        <f t="shared" si="6"/>
        <v>339</v>
      </c>
      <c r="AF23" s="1240">
        <f t="shared" si="6"/>
        <v>0</v>
      </c>
      <c r="AG23" s="1240">
        <f t="shared" si="6"/>
        <v>0</v>
      </c>
      <c r="AH23" s="1240">
        <f t="shared" si="6"/>
        <v>0</v>
      </c>
      <c r="AI23" s="1240">
        <f t="shared" si="6"/>
        <v>0</v>
      </c>
      <c r="AJ23" s="1240">
        <f t="shared" si="6"/>
        <v>288</v>
      </c>
      <c r="AK23" s="1240">
        <f t="shared" si="6"/>
        <v>511</v>
      </c>
      <c r="AL23" s="1240">
        <f t="shared" si="6"/>
        <v>0</v>
      </c>
      <c r="AM23" s="1240">
        <f t="shared" si="6"/>
        <v>0</v>
      </c>
      <c r="AN23" s="1240">
        <f t="shared" si="6"/>
        <v>0</v>
      </c>
      <c r="AO23" s="1242">
        <f>IF(ISNUMBER(((NºAsuntos!I23/NºAsuntos!G23)*11)/factor_trimestre),((NºAsuntos!I23/NºAsuntos!G23)*11)/factor_trimestre," - ")</f>
        <v>5.6128205128205133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2093</v>
      </c>
      <c r="G31" s="1117">
        <f t="shared" si="12"/>
        <v>2213</v>
      </c>
      <c r="H31" s="1118">
        <f t="shared" si="12"/>
        <v>0</v>
      </c>
      <c r="I31" s="1117">
        <f t="shared" si="12"/>
        <v>0</v>
      </c>
      <c r="J31" s="1119">
        <f t="shared" si="12"/>
        <v>0</v>
      </c>
      <c r="K31" s="1117">
        <f t="shared" si="12"/>
        <v>0</v>
      </c>
      <c r="L31" s="1120">
        <f t="shared" si="12"/>
        <v>0</v>
      </c>
      <c r="M31" s="1117">
        <f t="shared" si="12"/>
        <v>0</v>
      </c>
      <c r="N31" s="1118">
        <f t="shared" si="12"/>
        <v>446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1184</v>
      </c>
      <c r="Z31" s="1124">
        <f t="shared" si="13"/>
        <v>327</v>
      </c>
      <c r="AA31" s="1125">
        <f t="shared" si="13"/>
        <v>2214</v>
      </c>
      <c r="AB31" s="1125">
        <f t="shared" si="13"/>
        <v>0</v>
      </c>
      <c r="AC31" s="1125">
        <f t="shared" si="13"/>
        <v>0</v>
      </c>
      <c r="AD31" s="1126">
        <f t="shared" si="13"/>
        <v>0</v>
      </c>
      <c r="AE31" s="1126">
        <f t="shared" si="13"/>
        <v>5978</v>
      </c>
      <c r="AF31" s="1127">
        <f t="shared" si="13"/>
        <v>0</v>
      </c>
      <c r="AG31" s="1128">
        <f t="shared" si="13"/>
        <v>0</v>
      </c>
      <c r="AH31" s="1129">
        <f t="shared" si="13"/>
        <v>0</v>
      </c>
      <c r="AI31" s="1127">
        <f t="shared" si="13"/>
        <v>0</v>
      </c>
      <c r="AJ31" s="1117">
        <f t="shared" si="13"/>
        <v>637</v>
      </c>
      <c r="AK31" s="1117">
        <f t="shared" si="13"/>
        <v>1152</v>
      </c>
      <c r="AL31" s="1117">
        <f t="shared" si="13"/>
        <v>0</v>
      </c>
      <c r="AM31" s="1130">
        <f t="shared" si="13"/>
        <v>0</v>
      </c>
      <c r="AN31" s="1120">
        <f>IF(ISNUMBER(Datos!K31/Datos!J31),Datos!K31/Datos!J31," - ")</f>
        <v>1.1227714748784441</v>
      </c>
      <c r="AO31" s="1120">
        <f>IF(ISNUMBER(FIND("06",Criterios!A8,1)),(IF(ISNUMBER(((Datos!R31/Datos!Q31)*11)/factor_trimestre),((Datos!R31/Datos!Q31)*11)/factor_trimestre," - ")),(IF(ISNUMBER(((Datos!L31/Datos!K31)*11)/factor_trimestre),((Datos!L31/Datos!K31)*11)/factor_trimestre," - ")))</f>
        <v>6.2933958859617469</v>
      </c>
      <c r="AP31" s="1131" t="str">
        <f>IF(ISNUMBER(Datos!CI31/Datos!CJ31),Datos!CI31/Datos!CJ31," - ")</f>
        <v xml:space="preserve"> - </v>
      </c>
      <c r="AQ31" s="1131">
        <f>IF(OR(ISNUMBER(FIND("01",Criterios!A8,1)),ISNUMBER(FIND("02",Criterios!A8,1)),ISNUMBER(FIND("03",Criterios!A8,1)),ISNUMBER(FIND("04",Criterios!A8,1))),(J31-Y31+K31)/(F31-K31),(I31-Y31+K31)/(F31-K31))</f>
        <v>-0.56569517439082662</v>
      </c>
      <c r="AR31" s="1131">
        <f>IF(ISNUMBER((Datos!P31-Datos!Q31+O31)/(Datos!R31-Datos!P31+Datos!Q31-O31)),(Datos!P31-Datos!Q31+O31)/(Datos!R31-Datos!P31+Datos!Q31-O31)," - ")</f>
        <v>2.0310633213859019E-2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1059.2058660461935</v>
      </c>
      <c r="G33" s="674">
        <f>IF(ISNUMBER(STDEV(G8:G30)),STDEV(G8:G30),"-")</f>
        <v>1012.6162014448374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164.58931574419665</v>
      </c>
      <c r="AK33" s="276"/>
      <c r="AL33" s="276">
        <f>IF(ISNUMBER(STDEV(AL8:AL30)),STDEV(AL8:AL30),"-")</f>
        <v>0</v>
      </c>
      <c r="AM33" s="278">
        <f>IF(ISNUMBER(STDEV(AM8:AM30)),STDEV(AM8:AM30),"-")</f>
        <v>0</v>
      </c>
      <c r="AN33" s="660">
        <f>IF(ISNUMBER(STDEV(AN8:AN30)),STDEV(AN8:AN30),"-")</f>
        <v>0</v>
      </c>
      <c r="AO33" s="661">
        <f>IF(ISNUMBER(STDEV(AO8:AO30)),STDEV(AO8:AO30),"-")</f>
        <v>1.3970232698897573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bAc5NelpDO1obQOKqeJc+tVW9MyPDSwJXXjTouig3/yCUovTfccZv6bLGom+91iueqsprzibU/Wzwh1fuZvw==" saltValue="nX2uQsuTQ0vI1SkDwxR/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Z9mA2QQlYPryjV0V+OCm/ChNFi+gQ+kIQF5asKY/Ho3sQ0UaDuEudejOTj/YG3VlntzQTkFGoY2HtxeTHgD+w==" saltValue="puOdQh3tteFUQjLT73iV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uQs38a4DCKV6Ex69ZOuVTf1qPk/SJ55r5A/mGykYciHqvL7EKg+/kVq4lDfyFExzQfAw+C9k17ujkhk52QZMA==" saltValue="lYh+7Qy//peaAooCYxx+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CHICLANA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0.20302501454333916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0.14356036453409254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1pkRVoDmUOG6ijosnfKIxFIbFMTU4SYe2PwCeEj13IYGoYdGhAo2/ersz3q3+A6NvbPam/T6YSf2h7+uRglrQ==" saltValue="h0XlCQBKD12mJRD2tdYe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wocvMIFL+tknMq6V7OBbIBgu7WXUYnf64vD+6o5YVf/WNy9gwb5NRdmARAdhyFZkFLt8TnJus3jVxEhqtvm2w==" saltValue="SMxfit7lycoTSqmYLO6B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CHICLANA DE LA FRONTERA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11</v>
      </c>
      <c r="F10" s="452">
        <f>IF(ISNUMBER(E10/B10),E10/B10," - ")</f>
        <v>11</v>
      </c>
      <c r="G10" s="451">
        <f>IF(ISNUMBER(Datos!K10),Datos!K10," - ")</f>
        <v>14</v>
      </c>
      <c r="H10" s="452">
        <f>IF(ISNUMBER(G10/B10),G10/B10," - ")</f>
        <v>14</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3916</v>
      </c>
      <c r="D12" s="452">
        <f>IF(ISNUMBER(C12/Datos!BH12),C12/Datos!BH12," - ")</f>
        <v>652.66666666666663</v>
      </c>
      <c r="E12" s="451">
        <f>IF(ISNUMBER(IF(J_V="SI",Datos!J12,Datos!J12+Datos!Z12)),IF(J_V="SI",Datos!J12,Datos!J12+Datos!Z12)," - ")</f>
        <v>1437</v>
      </c>
      <c r="F12" s="452">
        <f>IF(ISNUMBER(E12/B12),E12/B12," - ")</f>
        <v>239.5</v>
      </c>
      <c r="G12" s="451">
        <f>IF(ISNUMBER(IF(J_V="SI",Datos!K12,Datos!K12+Datos!AA12)),IF(J_V="SI",Datos!K12,Datos!K12+Datos!AA12)," - ")</f>
        <v>1705</v>
      </c>
      <c r="H12" s="452">
        <f>IF(ISNUMBER(G12/B12),G12/B12," - ")</f>
        <v>284.16666666666669</v>
      </c>
      <c r="I12" s="451">
        <f>IF(ISNUMBER(IF(J_V="SI",Datos!L12,Datos!L12+Datos!AB12)),IF(J_V="SI",Datos!L12,Datos!L12+Datos!AB12)," - ")</f>
        <v>3655</v>
      </c>
      <c r="J12" s="452">
        <f>IF(ISNUMBER(I12/B12),I12/B12," - ")</f>
        <v>609.16666666666663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3944</v>
      </c>
      <c r="D14" s="1147" t="str">
        <f>IF(ISNUMBER(C14/Datos!BI14),C14/Datos!BI14," - ")</f>
        <v xml:space="preserve"> - </v>
      </c>
      <c r="E14" s="1146">
        <f>SUBTOTAL(9,E8:E13)</f>
        <v>1448</v>
      </c>
      <c r="F14" s="1147">
        <f>IF(ISNUMBER(E14/B14),E14/B14," - ")</f>
        <v>241.33333333333334</v>
      </c>
      <c r="G14" s="1146">
        <f>SUBTOTAL(9,G8:G13)</f>
        <v>1719</v>
      </c>
      <c r="H14" s="1147">
        <f>IF(ISNUMBER(G14/B14),G14/B14," - ")</f>
        <v>286.5</v>
      </c>
      <c r="I14" s="1146">
        <f>SUBTOTAL(9,I8:I13)</f>
        <v>3680</v>
      </c>
      <c r="J14" s="1147">
        <f>IF(ISNUMBER(I14/B14),I14/B14," - ")</f>
        <v>613.33333333333337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2038</v>
      </c>
      <c r="D17" s="452">
        <f>IF(ISNUMBER(C17/Datos!BH17),C17/Datos!BH17," - ")</f>
        <v>339.66666666666669</v>
      </c>
      <c r="E17" s="451">
        <f>IF(ISNUMBER(IF(D_I="SI",Datos!J17,Datos!J17+Datos!AD17)),IF(D_I="SI",Datos!J17,Datos!J17+Datos!AD17)," - ")</f>
        <v>1043</v>
      </c>
      <c r="F17" s="452">
        <f>IF(ISNUMBER(E17/B17),E17/B17," - ")</f>
        <v>173.83333333333334</v>
      </c>
      <c r="G17" s="451">
        <f>IF(ISNUMBER(IF(D_I="SI",Datos!K17,Datos!K17+Datos!AE17)),IF(D_I="SI",Datos!K17,Datos!K17+Datos!AE17)," - ")</f>
        <v>1038</v>
      </c>
      <c r="H17" s="452">
        <f>IF(ISNUMBER(G17/B17),G17/B17," - ")</f>
        <v>173</v>
      </c>
      <c r="I17" s="451">
        <f>IF(ISNUMBER(IF(D_I="SI",Datos!L17,Datos!L17+Datos!AF17)),IF(D_I="SI",Datos!L17,Datos!L17+Datos!AF17)," - ")</f>
        <v>2070</v>
      </c>
      <c r="J17" s="452">
        <f>IF(ISNUMBER(I17/B17),I17/B17," - ")</f>
        <v>345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104</v>
      </c>
      <c r="F18" s="452">
        <f>IF(ISNUMBER(E18/B18),E18/B18," - ")</f>
        <v>104</v>
      </c>
      <c r="G18" s="451">
        <f>IF(ISNUMBER(IF(D_I="SI",Datos!K18,Datos!K18+Datos!AE18)),IF(D_I="SI",Datos!K18,Datos!K18+Datos!AE18)," - ")</f>
        <v>132</v>
      </c>
      <c r="H18" s="452">
        <f>IF(ISNUMBER(G18/B18),G18/B18," - ")</f>
        <v>132</v>
      </c>
      <c r="I18" s="451">
        <f>IF(ISNUMBER(IF(D_I="SI",Datos!L18,Datos!L18+Datos!AF18)),IF(D_I="SI",Datos!L18,Datos!L18+Datos!AF18)," - ")</f>
        <v>119</v>
      </c>
      <c r="J18" s="452">
        <f>IF(ISNUMBER(I18/B18),I18/B18," - ")</f>
        <v>119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2185</v>
      </c>
      <c r="D23" s="1147" t="str">
        <f>IF(ISNUMBER(C23/Datos!BI23),C23/Datos!BI23," - ")</f>
        <v xml:space="preserve"> - </v>
      </c>
      <c r="E23" s="1146">
        <f>SUBTOTAL(9,E15:E22)</f>
        <v>1147</v>
      </c>
      <c r="F23" s="1147">
        <f>IF(ISNUMBER(E23/B23),E23/B23," - ")</f>
        <v>191.16666666666666</v>
      </c>
      <c r="G23" s="1146">
        <f>SUBTOTAL(9,G15:G22)</f>
        <v>1170</v>
      </c>
      <c r="H23" s="1147">
        <f>IF(ISNUMBER(G23/B23),G23/B23," - ")</f>
        <v>195</v>
      </c>
      <c r="I23" s="1146">
        <f>SUBTOTAL(9,I15:I22)</f>
        <v>2189</v>
      </c>
      <c r="J23" s="1147">
        <f>IF(ISNUMBER(I23/B23),I23/B23," - ")</f>
        <v>364.83333333333331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6129</v>
      </c>
      <c r="D31" s="1085" t="str">
        <f>IF(ISNUMBER(C31/Datos!BI31),C31/Datos!BI31," - ")</f>
        <v xml:space="preserve"> - </v>
      </c>
      <c r="E31" s="1084">
        <f>SUBTOTAL(9,E9:E30)</f>
        <v>2595</v>
      </c>
      <c r="F31" s="1085">
        <f>IF(ISNUMBER(E31/B31),E31/B31," - ")</f>
        <v>432.5</v>
      </c>
      <c r="G31" s="1084">
        <f>SUBTOTAL(9,G9:G30)</f>
        <v>2889</v>
      </c>
      <c r="H31" s="1085">
        <f>IF(ISNUMBER(G31/B31),G31/B31," - ")</f>
        <v>481.5</v>
      </c>
      <c r="I31" s="1084">
        <f>SUBTOTAL(9,I9:I30)</f>
        <v>5869</v>
      </c>
      <c r="J31" s="1085">
        <f>IF(ISNUMBER(I31/B31),I31/B31," - ")</f>
        <v>978.16666666666663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T17fyaRLcMr/QMGZJA0KgDqTuuNe0axsWBdiw//PLmLdFobdJuNUbrGWoty9qArdwTIwhbBkWgW3/eNvambMg==" saltValue="8KB872/fRD6KlAuQBdG9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CHICLANA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5.3571428571428577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342</v>
      </c>
      <c r="AM12" s="914">
        <f>IF(ISNUMBER(Datos!N12+DatosP!N17),Datos!N12+DatosP!N17," - ")</f>
        <v>634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6.4310850439882694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1.8373658359104966E-2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384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283</v>
      </c>
      <c r="AE14" s="1257">
        <f t="shared" si="1"/>
        <v>0</v>
      </c>
      <c r="AF14" s="1257">
        <f t="shared" si="1"/>
        <v>25</v>
      </c>
      <c r="AG14" s="1257">
        <f t="shared" si="1"/>
        <v>0</v>
      </c>
      <c r="AH14" s="1257">
        <f t="shared" si="1"/>
        <v>5598</v>
      </c>
      <c r="AI14" s="1257">
        <f t="shared" si="1"/>
        <v>0</v>
      </c>
      <c r="AJ14" s="1257">
        <f t="shared" si="1"/>
        <v>0</v>
      </c>
      <c r="AK14" s="1257">
        <f t="shared" si="1"/>
        <v>0</v>
      </c>
      <c r="AL14" s="1257">
        <f t="shared" si="1"/>
        <v>349</v>
      </c>
      <c r="AM14" s="1257">
        <f t="shared" si="1"/>
        <v>641</v>
      </c>
      <c r="AN14" s="1257">
        <f t="shared" si="1"/>
        <v>0</v>
      </c>
      <c r="AO14" s="1257">
        <f t="shared" si="1"/>
        <v>0</v>
      </c>
      <c r="AP14" s="1262">
        <f>IF(ISNUMBER(((Datos!L14/Datos!K14)*11)/factor_trimestre),((Datos!L14/Datos!K14)*11)/factor_trimestre," - ")</f>
        <v>6.7907557776389753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1.8373658359104966E-2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5.6128205128205133</v>
      </c>
      <c r="AQ23" s="1262">
        <f>IF(ISNUMBER(((Datos!M23/Datos!L23)*11)/factor_trimestre),((Datos!M23/Datos!L23)*11)/factor_trimestre," - ")</f>
        <v>0.39470077661032438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5.6074766355140186E-2</v>
      </c>
      <c r="AW23" s="1265">
        <f>IF(ISNUMBER((Datos!Q23-Datos!R23)/(Datos!S23-Datos!Q23+Datos!R23)),(Datos!Q23-Datos!R23)/(Datos!S23-Datos!Q23+Datos!R23)," - ")</f>
        <v>-0.10513186029935852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384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283</v>
      </c>
      <c r="AE31" s="1284">
        <f t="shared" si="9"/>
        <v>0</v>
      </c>
      <c r="AF31" s="1285">
        <f t="shared" si="9"/>
        <v>25</v>
      </c>
      <c r="AG31" s="1285">
        <f t="shared" si="9"/>
        <v>0</v>
      </c>
      <c r="AH31" s="1285">
        <f t="shared" si="9"/>
        <v>5598</v>
      </c>
      <c r="AI31" s="1285">
        <f t="shared" si="9"/>
        <v>0</v>
      </c>
      <c r="AJ31" s="1286">
        <f t="shared" si="9"/>
        <v>0</v>
      </c>
      <c r="AK31" s="1286">
        <f t="shared" si="9"/>
        <v>0</v>
      </c>
      <c r="AL31" s="1278">
        <f t="shared" si="9"/>
        <v>349</v>
      </c>
      <c r="AM31" s="1278">
        <f t="shared" si="9"/>
        <v>641</v>
      </c>
      <c r="AN31" s="1278">
        <f t="shared" si="9"/>
        <v>0</v>
      </c>
      <c r="AO31" s="1278">
        <f t="shared" si="9"/>
        <v>0</v>
      </c>
      <c r="AP31" s="1278">
        <f>IF(ISNUMBER(((Datos!L31/Datos!K31)*11)/factor_trimestre),((Datos!L31/Datos!K31)*11)/factor_trimestre," - ")</f>
        <v>6.2933958859617469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2.0310633213859019E-2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177.54623810902518</v>
      </c>
      <c r="AM33" s="1006"/>
      <c r="AN33" s="1006">
        <f>IF(ISNUMBER(STDEV(AN8:AN30)),STDEV(AN8:AN30),"-")</f>
        <v>0</v>
      </c>
      <c r="AO33" s="1012">
        <f>IF(ISNUMBER(STDEV(AO8:AO30)),STDEV(AO8:AO30),"-")</f>
        <v>0</v>
      </c>
      <c r="AP33" s="1065">
        <f>IF(ISNUMBER(STDEV(AP8:AP30)),STDEV(AP8:AP30),"-")</f>
        <v>0.67456283731437872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ZG+FVWcFhj8yFYTe5M6hDlpd3TSVtfJsCrDezZ4iOc3QnqemYEserLMezKm7oxxPT6tFj6jvLw7OAjc9tU6pQ==" saltValue="kCmfqBRukB2ham4f3mv3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CHICLANA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uYLFXD1zpVjV/K8LznQVH5EPaACvYrtZEQQfs0b2qMytMbEVR6EReczaj1v2UIhM3VqELY3xF9at2391uzhag==" saltValue="JsMU/dhyKn8qTIHSo7Ey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CHICLANA DE LA FRONTERA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342</v>
      </c>
      <c r="E12" s="452">
        <f t="shared" si="0"/>
        <v>57</v>
      </c>
      <c r="F12" s="451">
        <f>IF(ISNUMBER(Datos!N12),Datos!N12," - ")</f>
        <v>634</v>
      </c>
      <c r="G12" s="452">
        <f t="shared" si="1"/>
        <v>105.66666666666667</v>
      </c>
      <c r="H12" s="451">
        <f>IF(ISNUMBER(Datos!O12),Datos!O12," - ")</f>
        <v>539</v>
      </c>
      <c r="I12" s="452">
        <f t="shared" si="2"/>
        <v>89.833333333333329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349</v>
      </c>
      <c r="E14" s="1147">
        <f t="shared" si="0"/>
        <v>49.857142857142854</v>
      </c>
      <c r="F14" s="1146">
        <f>SUBTOTAL(9,F9:F13)</f>
        <v>641</v>
      </c>
      <c r="G14" s="1147">
        <f t="shared" si="1"/>
        <v>91.571428571428569</v>
      </c>
      <c r="H14" s="1146">
        <f>SUBTOTAL(9,H9:H13)</f>
        <v>539</v>
      </c>
      <c r="I14" s="1147">
        <f>IF(ISNUMBER(H14/B14),H14/B14," - ")</f>
        <v>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265</v>
      </c>
      <c r="E17" s="452">
        <f t="shared" si="3"/>
        <v>44.166666666666664</v>
      </c>
      <c r="F17" s="451">
        <f>IF(ISNUMBER(Datos!N17),Datos!N17," - ")</f>
        <v>440</v>
      </c>
      <c r="G17" s="452">
        <f t="shared" si="4"/>
        <v>73.333333333333329</v>
      </c>
      <c r="H17" s="451">
        <f>IF(ISNUMBER(Datos!O17),Datos!O17," - ")</f>
        <v>11</v>
      </c>
      <c r="I17" s="452">
        <f t="shared" si="5"/>
        <v>1.8333333333333333</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71</v>
      </c>
      <c r="G18" s="452">
        <f>IF(ISNUMBER(F18/B18),F18/B18," - ")</f>
        <v>71</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288</v>
      </c>
      <c r="E23" s="1147">
        <f t="shared" si="3"/>
        <v>41.142857142857146</v>
      </c>
      <c r="F23" s="1146">
        <f>SUBTOTAL(9,F16:F22)</f>
        <v>511</v>
      </c>
      <c r="G23" s="1147">
        <f t="shared" si="4"/>
        <v>73</v>
      </c>
      <c r="H23" s="1146">
        <f>SUBTOTAL(9,H16:H22)</f>
        <v>12</v>
      </c>
      <c r="I23" s="1147">
        <f>IF(ISNUMBER(H23/B23),H23/B23," - ")</f>
        <v>1.7142857142857142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637</v>
      </c>
      <c r="E31" s="1085">
        <f>IF(ISNUMBER(D31/B31),D31/B31," - ")</f>
        <v>106.16666666666667</v>
      </c>
      <c r="F31" s="1084">
        <f>SUBTOTAL(9,F8:F30)</f>
        <v>1152</v>
      </c>
      <c r="G31" s="1085">
        <f>IF(ISNUMBER(F31/B31),F31/B31," - ")</f>
        <v>192</v>
      </c>
      <c r="H31" s="1084">
        <f>SUBTOTAL(9,H8:H30)</f>
        <v>551</v>
      </c>
      <c r="I31" s="1085">
        <f>IF(ISNUMBER(H31/B31),H31/B31," - ")</f>
        <v>91.833333333333329</v>
      </c>
    </row>
    <row r="34" spans="1:1">
      <c r="A34" s="439" t="str">
        <f>Criterios!A4</f>
        <v>Fecha Informe: 05 may. 2023</v>
      </c>
    </row>
    <row r="39" spans="1:1">
      <c r="A39" s="462"/>
    </row>
  </sheetData>
  <sheetProtection algorithmName="SHA-512" hashValue="9warI4RY2lZHHJjizmhr3j7FuXrmBjh7371Ubl1VLQA5r9VIiMNClr3DYKdsALuQzKaEkXwQMIw0LINXD1UjJg==" saltValue="5WfHbgkyK84CBSVVeWyf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CHICLANA DE LA FRONTERA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384</v>
      </c>
      <c r="C12" s="489">
        <f>IF(ISNUMBER(Datos!Q12),Datos!Q12," - ")</f>
        <v>283</v>
      </c>
      <c r="D12" s="456">
        <f>IF(ISNUMBER(Datos!R12),Datos!R12," - ")</f>
        <v>5598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384</v>
      </c>
      <c r="C14" s="1150">
        <f>SUBTOTAL(9,C9:C13)</f>
        <v>283</v>
      </c>
      <c r="D14" s="1148">
        <f>SUBTOTAL(9,D9:D13)</f>
        <v>5639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43</v>
      </c>
      <c r="D17" s="456">
        <f>IF(ISNUMBER(Datos!R17),Datos!R17," - ")</f>
        <v>337</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44</v>
      </c>
      <c r="D23" s="1148">
        <f>SUBTOTAL(9,D16:D22)</f>
        <v>339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446</v>
      </c>
      <c r="C31" s="1089">
        <f>SUBTOTAL(9,C8:C30)</f>
        <v>327</v>
      </c>
      <c r="D31" s="1090">
        <f>SUBTOTAL(9,D8:D30)</f>
        <v>5978</v>
      </c>
    </row>
    <row r="32" spans="1:4" ht="7.5" customHeight="1"/>
    <row r="33" spans="1:1" ht="6" customHeight="1"/>
    <row r="34" spans="1:1">
      <c r="A34" s="439" t="str">
        <f>Criterios!A4</f>
        <v>Fecha Informe: 05 may. 2023</v>
      </c>
    </row>
    <row r="39" spans="1:1">
      <c r="A39" s="462"/>
    </row>
  </sheetData>
  <sheetProtection algorithmName="SHA-512" hashValue="Ero7UELtkB6OG3ZgzMn3hMfREwJ42XNNDupXhPQxIE5w1QOZdH4EmYlVrmndVGfG4HTAoS6doM6+iK2sta32YA==" saltValue="7cTtusInqRCZOhIheojU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CHICLANA DE LA FRONTERA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-0.47169811320754718</v>
      </c>
      <c r="C10" s="515">
        <f>IF(ISNUMBER((Datos!J10-Datos!T10)/Datos!T10),(Datos!J10-Datos!T10)/Datos!T10," - ")</f>
        <v>1.2</v>
      </c>
      <c r="D10" s="515">
        <f>IF(ISNUMBER((Datos!K10-Datos!U10)/Datos!U10),(Datos!K10-Datos!U10)/Datos!U10," - ")</f>
        <v>2.5</v>
      </c>
      <c r="E10" s="515">
        <f>IF(ISNUMBER((Datos!L10-Datos!V10)/Datos!V10),(Datos!L10-Datos!V10)/Datos!V10," - ")</f>
        <v>-0.53703703703703709</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0.59090909090909083</v>
      </c>
      <c r="I10" s="515">
        <f>IF(ISNUMBER(((NºAsuntos!I10/NºAsuntos!G10)-Datos!BE10)/Datos!BE10),((NºAsuntos!I10/NºAsuntos!G10)-Datos!BE10)/Datos!BE10," - ")</f>
        <v>-0.86772486772486768</v>
      </c>
      <c r="J10" s="521">
        <f>IF(ISNUMBER((('Resol  Asuntos'!D10/NºAsuntos!G10)-Datos!BF10)/Datos!BF10),(('Resol  Asuntos'!D10/NºAsuntos!G10)-Datos!BF10)/Datos!BF10," - ")</f>
        <v>-0.5</v>
      </c>
      <c r="K10" s="522">
        <f>IF(ISNUMBER((((NºAsuntos!C10+NºAsuntos!E10)/NºAsuntos!G10)-Datos!BG10)/Datos!BG10),(((NºAsuntos!C10+NºAsuntos!E10)/NºAsuntos!G10)-Datos!BG10)/Datos!BG10," - ")</f>
        <v>-0.8078817733990149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-4.0666340029397355E-2</v>
      </c>
      <c r="C12" s="515">
        <f>IF(ISNUMBER(
   IF(J_V="SI",(Datos!J12-Datos!T12)/Datos!T12,(Datos!J12+Datos!Z12-(Datos!T12+Datos!AH12))/(Datos!T12+Datos!AH12))
     ),IF(J_V="SI",(Datos!J12-Datos!T12)/Datos!T12,(Datos!J12+Datos!Z12-(Datos!T12+Datos!AH12))/(Datos!T12+Datos!AH12))," - ")</f>
        <v>1.4114326040931546E-2</v>
      </c>
      <c r="D12" s="515">
        <f>IF(ISNUMBER(
   IF(J_V="SI",(Datos!K12-Datos!U12)/Datos!U12,(Datos!K12+Datos!AA12-(Datos!U12+Datos!AI12))/(Datos!U12+Datos!AI12))
     ),IF(J_V="SI",(Datos!K12-Datos!U12)/Datos!U12,(Datos!K12+Datos!AA12-(Datos!U12+Datos!AI12))/(Datos!U12+Datos!AI12))," - ")</f>
        <v>0.30952380952380953</v>
      </c>
      <c r="E12" s="515">
        <f>IF(ISNUMBER(
   IF(J_V="SI",(Datos!L12-Datos!V12)/Datos!V12,(Datos!L12+Datos!AB12-(Datos!V12+Datos!AJ12))/(Datos!V12+Datos!AJ12))
     ),IF(J_V="SI",(Datos!L12-Datos!V12)/Datos!V12,(Datos!L12+Datos!AB12-(Datos!V12+Datos!AJ12))/(Datos!V12+Datos!AJ12))," - ")</f>
        <v>-0.13017610661589718</v>
      </c>
      <c r="F12" s="515">
        <f>IF(ISNUMBER((Datos!M12-Datos!W12)/Datos!W12),(Datos!M12-Datos!W12)/Datos!W12," - ")</f>
        <v>0.36254980079681276</v>
      </c>
      <c r="G12" s="516">
        <f>IF(ISNUMBER((Datos!N12-Datos!X12)/Datos!X12),(Datos!N12-Datos!X12)/Datos!X12," - ")</f>
        <v>0.62982005141388175</v>
      </c>
      <c r="H12" s="514">
        <f>IF(ISNUMBER(((NºAsuntos!G12/NºAsuntos!E12)-Datos!BD12)/Datos!BD12),((NºAsuntos!G12/NºAsuntos!E12)-Datos!BD12)/Datos!BD12," - ")</f>
        <v>0.29129800841700615</v>
      </c>
      <c r="I12" s="515">
        <f>IF(ISNUMBER(((NºAsuntos!I12/NºAsuntos!G12)-Datos!BE12)/Datos!BE12),((NºAsuntos!I12/NºAsuntos!G12)-Datos!BE12)/Datos!BE12," - ")</f>
        <v>-0.33577084505213972</v>
      </c>
      <c r="J12" s="521">
        <f>IF(ISNUMBER((('Resol  Asuntos'!D12/NºAsuntos!G12)-Datos!BF12)/Datos!BF12),(('Resol  Asuntos'!D12/NºAsuntos!G12)-Datos!BF12)/Datos!BF12," - ")</f>
        <v>-0.32862818415517647</v>
      </c>
      <c r="K12" s="522">
        <f>IF(ISNUMBER((((NºAsuntos!C12+NºAsuntos!E12)/NºAsuntos!G12)-Datos!BG12)/Datos!BG12),(((NºAsuntos!C12+NºAsuntos!E12)/NºAsuntos!G12)-Datos!BG12)/Datos!BG12," - ")</f>
        <v>-0.25663839706392894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-4.619105199516324E-2</v>
      </c>
      <c r="C14" s="1152">
        <f>IF(ISNUMBER(
   IF(J_V="SI",(Datos!J14-Datos!T14)/Datos!T14,(Datos!J14+Datos!Z14-(Datos!T14+Datos!AH14))/(Datos!T14+Datos!AH14))
     ),IF(J_V="SI",(Datos!J14-Datos!T14)/Datos!T14,(Datos!J14+Datos!Z14-(Datos!T14+Datos!AH14))/(Datos!T14+Datos!AH14))," - ")</f>
        <v>1.8284106891701828E-2</v>
      </c>
      <c r="D14" s="1152">
        <f>IF(ISNUMBER(
   IF(J_V="SI",(Datos!K14-Datos!U14)/Datos!U14,(Datos!K14+Datos!AA14-(Datos!U14+Datos!AI14))/(Datos!U14+Datos!AI14))
     ),IF(J_V="SI",(Datos!K14-Datos!U14)/Datos!U14,(Datos!K14+Datos!AA14-(Datos!U14+Datos!AI14))/(Datos!U14+Datos!AI14))," - ")</f>
        <v>0.31623277182235837</v>
      </c>
      <c r="E14" s="1152">
        <f>IF(ISNUMBER(
   IF(J_V="SI",(Datos!L14-Datos!V14)/Datos!V14,(Datos!L14+Datos!AB14-(Datos!V14+Datos!AJ14))/(Datos!V14+Datos!AJ14))
     ),IF(J_V="SI",(Datos!L14-Datos!V14)/Datos!V14,(Datos!L14+Datos!AB14-(Datos!V14+Datos!AJ14))/(Datos!V14+Datos!AJ14))," - ")</f>
        <v>-0.13533834586466165</v>
      </c>
      <c r="F14" s="1153">
        <f>IF(ISNUMBER((Datos!M14-Datos!W14)/Datos!W14),(Datos!M14-Datos!W14)/Datos!W14," - ")</f>
        <v>0.36862745098039218</v>
      </c>
      <c r="G14" s="1154">
        <f>IF(ISNUMBER((Datos!N14-Datos!X14)/Datos!X14),(Datos!N14-Datos!X14)/Datos!X14," - ")</f>
        <v>0.6478149100257069</v>
      </c>
      <c r="H14" s="1154">
        <f>IF(ISNUMBER(((NºAsuntos!G14/NºAsuntos!E14)-Datos!BD14)/Datos!BD14),((NºAsuntos!G14/NºAsuntos!E14)-Datos!BD14)/Datos!BD14," - ")</f>
        <v>0.29259875796366958</v>
      </c>
      <c r="I14" s="1154">
        <f>IF(ISNUMBER(((NºAsuntos!I14/NºAsuntos!G14)-Datos!BE14)/Datos!BE14),((NºAsuntos!I14/NºAsuntos!G14)-Datos!BE14)/Datos!BE14," - ")</f>
        <v>-0.34307846404842818</v>
      </c>
      <c r="J14" s="1154">
        <f>IF(ISNUMBER((('Resol  Asuntos'!D14/NºAsuntos!G14)-Datos!BF14)/Datos!BF14),(('Resol  Asuntos'!D14/NºAsuntos!G14)-Datos!BF14)/Datos!BF14," - ")</f>
        <v>-0.32531636388396712</v>
      </c>
      <c r="K14" s="1154">
        <f>IF(ISNUMBER((((NºAsuntos!C14+NºAsuntos!E14)/NºAsuntos!G14)-Datos!BG14)/Datos!BG14),(((NºAsuntos!C14+NºAsuntos!E14)/NºAsuntos!G14)-Datos!BG14)/Datos!BG14," - ")</f>
        <v>-0.26281449545631225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-9.6230598669623066E-2</v>
      </c>
      <c r="C17" s="515">
        <f>IF(ISNUMBER(
   IF(D_I="SI",(Datos!J17-Datos!T17)/Datos!T17,(Datos!J17+Datos!AD17-(Datos!T17+Datos!AL17))/(Datos!T17+Datos!AL17))
     ),IF(D_I="SI",(Datos!J17-Datos!T17)/Datos!T17,(Datos!J17+Datos!AD17-(Datos!T17+Datos!AL17))/(Datos!T17+Datos!AL17))," - ")</f>
        <v>3.5749751737835157E-2</v>
      </c>
      <c r="D17" s="515">
        <f>IF(ISNUMBER(
   IF(D_I="SI",(Datos!K17-Datos!U17)/Datos!U17,(Datos!K17+Datos!AE17-(Datos!U17+Datos!AM17))/(Datos!U17+Datos!AM17))
     ),IF(D_I="SI",(Datos!K17-Datos!U17)/Datos!U17,(Datos!K17+Datos!AE17-(Datos!U17+Datos!AM17))/(Datos!U17+Datos!AM17))," - ")</f>
        <v>-6.4021641118124431E-2</v>
      </c>
      <c r="E17" s="515">
        <f>IF(ISNUMBER(
   IF(D_I="SI",(Datos!L17-Datos!V17)/Datos!V17,(Datos!L17+Datos!AF17-(Datos!V17+Datos!AN17))/(Datos!V17+Datos!AN17))
     ),IF(D_I="SI",(Datos!L17-Datos!V17)/Datos!V17,(Datos!L17+Datos!AF17-(Datos!V17+Datos!AN17))/(Datos!V17+Datos!AN17))," - ")</f>
        <v>-4.077849860982391E-2</v>
      </c>
      <c r="F17" s="515">
        <f>IF(ISNUMBER((Datos!M17-Datos!W17)/Datos!W17),(Datos!M17-Datos!W17)/Datos!W17," - ")</f>
        <v>0.39473684210526316</v>
      </c>
      <c r="G17" s="516">
        <f>IF(ISNUMBER((Datos!N17-Datos!X17)/Datos!X17),(Datos!N17-Datos!X17)/Datos!X17," - ")</f>
        <v>-0.31034482758620691</v>
      </c>
      <c r="H17" s="514">
        <f>IF(ISNUMBER(((NºAsuntos!G17/NºAsuntos!E17)-Datos!BD17)/Datos!BD17),((NºAsuntos!G17/NºAsuntos!E17)-Datos!BD17)/Datos!BD17," - ")</f>
        <v>-9.6327701443865127E-2</v>
      </c>
      <c r="I17" s="515">
        <f>IF(ISNUMBER(((NºAsuntos!I17/NºAsuntos!G17)-Datos!BE17)/Datos!BE17),((NºAsuntos!I17/NºAsuntos!G17)-Datos!BE17)/Datos!BE17," - ")</f>
        <v>2.4832991369658244E-2</v>
      </c>
      <c r="J17" s="521">
        <f>IF(ISNUMBER((('Resol  Asuntos'!D17/NºAsuntos!G17)-Datos!BF17)/Datos!BF17),(('Resol  Asuntos'!D17/NºAsuntos!G17)-Datos!BF17)/Datos!BF17," - ")</f>
        <v>0.49013791704695259</v>
      </c>
      <c r="K17" s="522">
        <f>IF(ISNUMBER((((NºAsuntos!C17+NºAsuntos!E17)/NºAsuntos!G17)-Datos!BG17)/Datos!BG17),(((NºAsuntos!C17+NºAsuntos!E17)/NºAsuntos!G17)-Datos!BG17)/Datos!BG17," - ")</f>
        <v>9.1179566420828105E-3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-0.42578125</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0.88571428571428568</v>
      </c>
      <c r="E18" s="515">
        <f>IF(ISNUMBER(
   IF(D_I="SI",(Datos!L18-Datos!V18)/Datos!V18,(Datos!L18+Datos!AF18-(Datos!V18+Datos!AN18))/(Datos!V18+Datos!AN18))
     ),IF(D_I="SI",(Datos!L18-Datos!V18)/Datos!V18,(Datos!L18+Datos!AF18-(Datos!V18+Datos!AN18))/(Datos!V18+Datos!AN18))," - ")</f>
        <v>-0.57801418439716312</v>
      </c>
      <c r="F18" s="515">
        <f>IF(ISNUMBER((Datos!M18-Datos!W18)/Datos!W18),(Datos!M18-Datos!W18)/Datos!W18," - ")</f>
        <v>1.5555555555555556</v>
      </c>
      <c r="G18" s="516">
        <f>IF(ISNUMBER((Datos!N18-Datos!X18)/Datos!X18),(Datos!N18-Datos!X18)/Datos!X18," - ")</f>
        <v>1.0285714285714285</v>
      </c>
      <c r="H18" s="514">
        <f>IF(ISNUMBER(((NºAsuntos!G18/NºAsuntos!E18)-Datos!BD18)/Datos!BD18),((NºAsuntos!G18/NºAsuntos!E18)-Datos!BD18)/Datos!BD18," - ")</f>
        <v>0.74065934065934069</v>
      </c>
      <c r="I18" s="515">
        <f>IF(ISNUMBER(((NºAsuntos!I18/NºAsuntos!G18)-Datos!BE18)/Datos!BE18),((NºAsuntos!I18/NºAsuntos!G18)-Datos!BE18)/Datos!BE18," - ")</f>
        <v>-0.77621964324091985</v>
      </c>
      <c r="J18" s="521">
        <f>IF(ISNUMBER((('Resol  Asuntos'!D18/NºAsuntos!G18)-Datos!BF18)/Datos!BF18),(('Resol  Asuntos'!D18/NºAsuntos!G18)-Datos!BF18)/Datos!BF18," - ")</f>
        <v>0.35521885521885543</v>
      </c>
      <c r="K18" s="522">
        <f>IF(ISNUMBER((((NºAsuntos!C18+NºAsuntos!E18)/NºAsuntos!G18)-Datos!BG18)/Datos!BG18),(((NºAsuntos!C18+NºAsuntos!E18)/NºAsuntos!G18)-Datos!BG18)/Datos!BG18," - ")</f>
        <v>-0.62185778236914602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-0.12982875348466746</v>
      </c>
      <c r="C23" s="1152">
        <f>IF(ISNUMBER(
   IF(Criterios!B14="SI",(Datos!J23-Datos!T23)/Datos!T23,(Datos!J23+Datos!AD23-(Datos!T23+Datos!AL23))/(Datos!T23+Datos!AL23))
     ),IF(Criterios!B14="SI",(Datos!J23-Datos!T23)/Datos!T23,(Datos!J23+Datos!AD23-(Datos!T23+Datos!AL23))/(Datos!T23+Datos!AL23))," - ")</f>
        <v>3.9891205802357207E-2</v>
      </c>
      <c r="D23" s="1152">
        <f>IF(ISNUMBER(
   IF(Criterios!B14="SI",(Datos!K23-Datos!U23)/Datos!U23,(Datos!K23+Datos!AE23-(Datos!U23+Datos!AM23))/(Datos!U23+Datos!AM23))
     ),IF(Criterios!B14="SI",(Datos!K23-Datos!U23)/Datos!U23,(Datos!K23+Datos!AE23-(Datos!U23+Datos!AM23))/(Datos!U23+Datos!AM23))," - ")</f>
        <v>-7.6335877862595417E-3</v>
      </c>
      <c r="E23" s="1152">
        <f>IF(ISNUMBER(
   IF(Criterios!B14="SI",(Datos!L23-Datos!V23)/Datos!V23,(Datos!L23+Datos!AF23-(Datos!V23+Datos!AN23))/(Datos!V23+Datos!AN23))
     ),IF(Criterios!B14="SI",(Datos!L23-Datos!V23)/Datos!V23,(Datos!L23+Datos!AF23-(Datos!V23+Datos!AN23))/(Datos!V23+Datos!AN23))," - ")</f>
        <v>-0.10286885245901639</v>
      </c>
      <c r="F23" s="1153">
        <f>IF(ISNUMBER((Datos!M23-Datos!W23)/Datos!W23),(Datos!M23-Datos!W23)/Datos!W23," - ")</f>
        <v>0.44723618090452261</v>
      </c>
      <c r="G23" s="1154">
        <f>IF(ISNUMBER((Datos!N23-Datos!X23)/Datos!X23),(Datos!N23-Datos!X23)/Datos!X23," - ")</f>
        <v>-0.24071322436849926</v>
      </c>
      <c r="H23" s="1154">
        <f>IF(ISNUMBER(((NºAsuntos!G23/NºAsuntos!E23)-Datos!BD23)/Datos!BD23),((NºAsuntos!G23/NºAsuntos!E23)-Datos!BD23)/Datos!BD23," - ")</f>
        <v>-4.570169775784147E-2</v>
      </c>
      <c r="I23" s="1154">
        <f>IF(ISNUMBER(((NºAsuntos!I23/NºAsuntos!G23)-Datos!BE23)/Datos!BE23),((NºAsuntos!I23/NºAsuntos!G23)-Datos!BE23)/Datos!BE23," - ")</f>
        <v>-9.5967843631777988E-2</v>
      </c>
      <c r="J23" s="1154">
        <f>IF(ISNUMBER((('Resol  Asuntos'!D23/NºAsuntos!G23)-Datos!BF23)/Datos!BF23),(('Resol  Asuntos'!D23/NºAsuntos!G23)-Datos!BF23)/Datos!BF23," - ")</f>
        <v>0.45836876691148049</v>
      </c>
      <c r="K23" s="1154">
        <f>IF(ISNUMBER((((NºAsuntos!C23+NºAsuntos!E23)/NºAsuntos!G23)-Datos!BG23)/Datos!BG23),(((NºAsuntos!C23+NºAsuntos!E23)/NºAsuntos!G23)-Datos!BG23)/Datos!BG23," - ")</f>
        <v>-7.0937805968243187E-2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-7.7791152572976224E-2</v>
      </c>
      <c r="C31" s="1092">
        <f>IF(ISNUMBER(
   IF(J_V="SI",(Datos!J31-Datos!T31)/Datos!T31,(Datos!J31+Datos!Z31-(Datos!T31+Datos!AH31))/(Datos!T31+Datos!AH31))
     ),IF(J_V="SI",(Datos!J31-Datos!T31)/Datos!T31,(Datos!J31+Datos!Z31-(Datos!T31+Datos!AH31))/(Datos!T31+Datos!AH31))," - ")</f>
        <v>2.7722772277227723E-2</v>
      </c>
      <c r="D31" s="1092">
        <f>IF(ISNUMBER(
   IF(J_V="SI",(Datos!K31-Datos!U31)/Datos!U31,(Datos!K31+Datos!AA31-(Datos!U31+Datos!AI31))/(Datos!U31+Datos!AI31))
     ),IF(J_V="SI",(Datos!K31-Datos!U31)/Datos!U31,(Datos!K31+Datos!AA31-(Datos!U31+Datos!AI31))/(Datos!U31+Datos!AI31))," - ")</f>
        <v>0.16257545271629778</v>
      </c>
      <c r="E31" s="1092">
        <f>IF(ISNUMBER(
   IF(J_V="SI",(Datos!L31-Datos!V31)/Datos!V31,(Datos!L31+Datos!AB31-(Datos!V31+Datos!AJ31))/(Datos!V31+Datos!AJ31))
     ),IF(J_V="SI",(Datos!L31-Datos!V31)/Datos!V31,(Datos!L31+Datos!AB31-(Datos!V31+Datos!AJ31))/(Datos!V31+Datos!AJ31))," - ")</f>
        <v>-0.12350657108721624</v>
      </c>
      <c r="F31" s="1093">
        <f>IF(ISNUMBER((Datos!M31-Datos!W31)/Datos!W31),(Datos!M31-Datos!W31)/Datos!W31," - ")</f>
        <v>0.40308370044052866</v>
      </c>
      <c r="G31" s="1094">
        <f>IF(ISNUMBER((Datos!N31-Datos!X31)/Datos!X31),(Datos!N31-Datos!X31)/Datos!X31," - ")</f>
        <v>8.4745762711864403E-2</v>
      </c>
      <c r="H31" s="1095">
        <f>IF(ISNUMBER((Tasas!B31-Datos!BD31)/Datos!BD31),(Tasas!B31-Datos!BD31)/Datos!BD31," - ")</f>
        <v>0.13121503588002006</v>
      </c>
      <c r="I31" s="1096">
        <f>IF(ISNUMBER((Tasas!C31-Datos!BE31)/Datos!BE31),(Tasas!C31-Datos!BE31)/Datos!BE31," - ")</f>
        <v>-0.246076091779762</v>
      </c>
      <c r="J31" s="1097">
        <f>IF(ISNUMBER((Tasas!D31-Datos!BF31)/Datos!BF31),(Tasas!D31-Datos!BF31)/Datos!BF31," - ")</f>
        <v>-7.4457050508452374E-2</v>
      </c>
      <c r="K31" s="1097">
        <f>IF(ISNUMBER((Tasas!E31-Datos!BG31)/Datos!BG31),(Tasas!E31-Datos!BG31)/Datos!BG31," - ")</f>
        <v>-0.18176544806403039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PoVqnLLiYeG8E8khb4/WqhAMQ2USYFi2mR8EtRQYyOShnQtkxirj4jo/fdqpeu7UxSsBsBlwd/hXJdQ4bGhIQ==" saltValue="yugJnjgXfVssC/x1L+wk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CHICLANA DE LA FRONTERA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1.2727272727272727</v>
      </c>
      <c r="C10" s="498">
        <f>IF(ISNUMBER(NºAsuntos!I10/NºAsuntos!G10),NºAsuntos!I10/NºAsuntos!G10," - ")</f>
        <v>1.7857142857142858</v>
      </c>
      <c r="D10" s="499">
        <f>IF(ISNUMBER('Resol  Asuntos'!D10/NºAsuntos!G10),'Resol  Asuntos'!D10/NºAsuntos!G10," - ")</f>
        <v>0.5</v>
      </c>
      <c r="E10" s="500">
        <f>IF(ISNUMBER((NºAsuntos!C10+NºAsuntos!E10)/NºAsuntos!G10),(NºAsuntos!C10+NºAsuntos!E10)/NºAsuntos!G10," - ")</f>
        <v>2.7857142857142856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1.1864996520528879</v>
      </c>
      <c r="C12" s="498">
        <f>IF(ISNUMBER(NºAsuntos!I12/NºAsuntos!G12),NºAsuntos!I12/NºAsuntos!G12," - ")</f>
        <v>2.1436950146627565</v>
      </c>
      <c r="D12" s="499">
        <f>IF(ISNUMBER('Resol  Asuntos'!D12/NºAsuntos!G12),'Resol  Asuntos'!D12/NºAsuntos!G12," - ")</f>
        <v>0.20058651026392962</v>
      </c>
      <c r="E12" s="500">
        <f>IF(ISNUMBER((NºAsuntos!C12+NºAsuntos!E12)/NºAsuntos!G12),(NºAsuntos!C12+NºAsuntos!E12)/NºAsuntos!G12," - ")</f>
        <v>3.1395894428152493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1.1871546961325967</v>
      </c>
      <c r="C14" s="1156">
        <f>IF(ISNUMBER(NºAsuntos!I14/NºAsuntos!G14),NºAsuntos!I14/NºAsuntos!G14," - ")</f>
        <v>2.1407795229784758</v>
      </c>
      <c r="D14" s="1157">
        <f>IF(ISNUMBER('Resol  Asuntos'!D14/NºAsuntos!G14),'Resol  Asuntos'!D14/NºAsuntos!G14," - ")</f>
        <v>0.20302501454333916</v>
      </c>
      <c r="E14" s="1158">
        <f>IF(ISNUMBER((NºAsuntos!C14+NºAsuntos!E14)/NºAsuntos!G14),(NºAsuntos!C14+NºAsuntos!E14)/NºAsuntos!G14," - ")</f>
        <v>3.1367073880162883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0.9952061361457335</v>
      </c>
      <c r="C17" s="498">
        <f>IF(ISNUMBER(NºAsuntos!I17/NºAsuntos!G17),NºAsuntos!I17/NºAsuntos!G17," - ")</f>
        <v>1.9942196531791907</v>
      </c>
      <c r="D17" s="499">
        <f>IF(ISNUMBER('Resol  Asuntos'!D17/NºAsuntos!G17),'Resol  Asuntos'!D17/NºAsuntos!G17," - ")</f>
        <v>0.25529865125240847</v>
      </c>
      <c r="E17" s="500">
        <f>IF(ISNUMBER((NºAsuntos!C17+NºAsuntos!E17)/NºAsuntos!G17),(NºAsuntos!C17+NºAsuntos!E17)/NºAsuntos!G17," - ")</f>
        <v>2.9682080924855492</v>
      </c>
      <c r="G17" s="523"/>
    </row>
    <row r="18" spans="1:7">
      <c r="A18" s="450" t="str">
        <f>Datos!A18</f>
        <v>Jdos. Violencia contra la mujer</v>
      </c>
      <c r="B18" s="497">
        <f>IF(ISNUMBER(NºAsuntos!G18/NºAsuntos!E18),NºAsuntos!G18/NºAsuntos!E18," - ")</f>
        <v>1.2692307692307692</v>
      </c>
      <c r="C18" s="498">
        <f>IF(ISNUMBER(NºAsuntos!I18/NºAsuntos!G18),NºAsuntos!I18/NºAsuntos!G18," - ")</f>
        <v>0.90151515151515149</v>
      </c>
      <c r="D18" s="499">
        <f>IF(ISNUMBER('Resol  Asuntos'!D18/NºAsuntos!G18),'Resol  Asuntos'!D18/NºAsuntos!G18," - ")</f>
        <v>0.17424242424242425</v>
      </c>
      <c r="E18" s="500">
        <f>IF(ISNUMBER((NºAsuntos!C18+NºAsuntos!E18)/NºAsuntos!G18),(NºAsuntos!C18+NºAsuntos!E18)/NºAsuntos!G18," - ")</f>
        <v>1.9015151515151516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1.0200523103748911</v>
      </c>
      <c r="C23" s="1156">
        <f>IF(ISNUMBER(NºAsuntos!I23/NºAsuntos!G23),NºAsuntos!I23/NºAsuntos!G23," - ")</f>
        <v>1.870940170940171</v>
      </c>
      <c r="D23" s="1159">
        <f>IF(ISNUMBER('Resol  Asuntos'!D23/NºAsuntos!G23),'Resol  Asuntos'!D23/NºAsuntos!G23," - ")</f>
        <v>0.24615384615384617</v>
      </c>
      <c r="E23" s="1158">
        <f>IF(ISNUMBER((NºAsuntos!C23+NºAsuntos!E23)/NºAsuntos!G23),(NºAsuntos!C23+NºAsuntos!E23)/NºAsuntos!G23," - ")</f>
        <v>2.847863247863248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1.1132947976878613</v>
      </c>
      <c r="C31" s="1099">
        <f>IF(ISNUMBER(NºAsuntos!I31/NºAsuntos!G31),NºAsuntos!I31/NºAsuntos!G31," - ")</f>
        <v>2.0314987885081344</v>
      </c>
      <c r="D31" s="1100">
        <f>IF(ISNUMBER('Resol  Asuntos'!D31/NºAsuntos!G31),'Resol  Asuntos'!D31/NºAsuntos!G31," - ")</f>
        <v>0.22049151955694013</v>
      </c>
      <c r="E31" s="1101">
        <f>IF(ISNUMBER((NºAsuntos!C31+NºAsuntos!E31)/NºAsuntos!G31),(NºAsuntos!C31+NºAsuntos!E31)/NºAsuntos!G31," - ")</f>
        <v>3.0197300103842162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EVk3Y89gkpjOERBPEXGWmhg1Py19jXvHy8qcRPz3WSt0NyfEZG0Ix9pORwEr2LZt51nzTNmV/r+q7s4lXVDMA==" saltValue="PwWd/EYy18hHGl7Vp7J9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CHICLANA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25</v>
      </c>
      <c r="AB10" s="374">
        <f>IF(ISNUMBER(Datos!R10),Datos!R10," - ")</f>
        <v>41</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1.2727272727272727</v>
      </c>
      <c r="AM10" s="284">
        <f>IF(ISNUMBER(((NºAsuntos!I10/NºAsuntos!G10)*11)/factor_trimestre),((NºAsuntos!I10/NºAsuntos!G10)*11)/factor_trimestre," - ")</f>
        <v>5.3571428571428577</v>
      </c>
      <c r="AN10" s="267">
        <f>IF(ISNUMBER('Resol  Asuntos'!D10/NºAsuntos!G10),'Resol  Asuntos'!D10/NºAsuntos!G10," - ")</f>
        <v>0.5</v>
      </c>
      <c r="AO10" s="268">
        <f>IF(ISNUMBER((NºAsuntos!C10+NºAsuntos!E10)/NºAsuntos!G10),(NºAsuntos!C10+NºAsuntos!E10)/NºAsuntos!G10," - ")</f>
        <v>2.7857142857142856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283</v>
      </c>
      <c r="Y12" s="374">
        <f t="shared" si="0"/>
        <v>283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342</v>
      </c>
      <c r="AJ12" s="243" t="str">
        <f>IF(ISNUMBER(Datos!BW12),Datos!BW12," - ")</f>
        <v xml:space="preserve"> - </v>
      </c>
      <c r="AK12" s="242" t="str">
        <f>IF(ISNUMBER(Datos!BX12),Datos!BX12," - ")</f>
        <v xml:space="preserve"> - </v>
      </c>
      <c r="AL12" s="266">
        <f>IF(ISNUMBER(NºAsuntos!G12/NºAsuntos!E12),NºAsuntos!G12/NºAsuntos!E12," - ")</f>
        <v>1.1864996520528879</v>
      </c>
      <c r="AM12" s="284">
        <f>IF(ISNUMBER(((NºAsuntos!I12/NºAsuntos!G12)*11)/factor_trimestre),((NºAsuntos!I12/NºAsuntos!G12)*11)/factor_trimestre," - ")</f>
        <v>6.4310850439882694</v>
      </c>
      <c r="AN12" s="267">
        <f>IF(ISNUMBER('Resol  Asuntos'!D12/NºAsuntos!G12),'Resol  Asuntos'!D12/NºAsuntos!G12," - ")</f>
        <v>0.20058651026392962</v>
      </c>
      <c r="AO12" s="268">
        <f>IF(ISNUMBER((NºAsuntos!C12+NºAsuntos!E12)/NºAsuntos!G12),(NºAsuntos!C12+NºAsuntos!E12)/NºAsuntos!G12," - ")</f>
        <v>3.1395894428152493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28</v>
      </c>
      <c r="G14" s="1163">
        <f t="shared" si="5"/>
        <v>28</v>
      </c>
      <c r="H14" s="1162">
        <f t="shared" si="5"/>
        <v>0</v>
      </c>
      <c r="I14" s="1164">
        <f t="shared" si="5"/>
        <v>0</v>
      </c>
      <c r="J14" s="1164">
        <f t="shared" si="5"/>
        <v>0</v>
      </c>
      <c r="K14" s="1164">
        <f t="shared" si="5"/>
        <v>0</v>
      </c>
      <c r="L14" s="1164">
        <f t="shared" si="5"/>
        <v>384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283</v>
      </c>
      <c r="Y14" s="1165">
        <f t="shared" si="6"/>
        <v>297</v>
      </c>
      <c r="Z14" s="1165">
        <f t="shared" si="6"/>
        <v>0</v>
      </c>
      <c r="AA14" s="1165">
        <f t="shared" si="6"/>
        <v>25</v>
      </c>
      <c r="AB14" s="1165">
        <f t="shared" si="6"/>
        <v>5639</v>
      </c>
      <c r="AC14" s="1165">
        <f t="shared" si="6"/>
        <v>66</v>
      </c>
      <c r="AD14" s="1165">
        <f t="shared" si="6"/>
        <v>0</v>
      </c>
      <c r="AE14" s="1169">
        <f t="shared" si="6"/>
        <v>0</v>
      </c>
      <c r="AF14" s="1162">
        <f t="shared" si="6"/>
        <v>0</v>
      </c>
      <c r="AG14" s="1170">
        <f t="shared" si="6"/>
        <v>0</v>
      </c>
      <c r="AH14" s="1167">
        <f t="shared" si="6"/>
        <v>0</v>
      </c>
      <c r="AI14" s="1162">
        <f t="shared" si="6"/>
        <v>349</v>
      </c>
      <c r="AJ14" s="1164">
        <f t="shared" si="6"/>
        <v>0</v>
      </c>
      <c r="AK14" s="1167">
        <f>SUBTOTAL(9,AK9:AK13)</f>
        <v>0</v>
      </c>
      <c r="AL14" s="1171">
        <f>IF(ISNUMBER(NºAsuntos!G14/NºAsuntos!E14),NºAsuntos!G14/NºAsuntos!E14," - ")</f>
        <v>1.1871546961325967</v>
      </c>
      <c r="AM14" s="1171">
        <f>IF(ISNUMBER(((NºAsuntos!I14/NºAsuntos!G14)*11)/factor_trimestre),((NºAsuntos!I14/NºAsuntos!G14)*11)/factor_trimestre," - ")</f>
        <v>6.4223385689354275</v>
      </c>
      <c r="AN14" s="1172">
        <f>IF(ISNUMBER('Resol  Asuntos'!D14/NºAsuntos!G14),'Resol  Asuntos'!D14/NºAsuntos!G14," - ")</f>
        <v>0.20302501454333916</v>
      </c>
      <c r="AO14" s="1173">
        <f>IF(ISNUMBER((NºAsuntos!C14+NºAsuntos!E14)/NºAsuntos!G14),(NºAsuntos!C14+NºAsuntos!E14)/NºAsuntos!G14," - ")</f>
        <v>3.1367073880162883</v>
      </c>
      <c r="AP14" s="1174" t="str">
        <f t="shared" si="2"/>
        <v xml:space="preserve"> - </v>
      </c>
      <c r="AQ14" s="1174">
        <f>IF(ISNUMBER((H14-W14+K14)/(F14)),(H14-W14+K14)/(F14)," - ")</f>
        <v>-0.5</v>
      </c>
      <c r="AR14" s="1175">
        <f>IF(ISNUMBER((Datos!P14-Datos!Q14)/(Datos!R14-Datos!P14+Datos!Q14)),(Datos!P14-Datos!Q14)/(Datos!R14-Datos!P14+Datos!Q14)," - ")</f>
        <v>1.8237630913687252E-2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2065</v>
      </c>
      <c r="G17" s="373">
        <f>IF(ISNUMBER(IF(D_I="SI",Datos!I17,Datos!I17+Datos!AC17)),IF(D_I="SI",Datos!I17,Datos!I17+Datos!AC17)," - ")</f>
        <v>2038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1038</v>
      </c>
      <c r="X17" s="240">
        <f>IF(ISNUMBER(Datos!Q17),Datos!Q17," - ")</f>
        <v>43</v>
      </c>
      <c r="Y17" s="374">
        <f t="shared" ref="Y17:Y22" si="9">SUM(W17:X17)</f>
        <v>1081</v>
      </c>
      <c r="Z17" s="375" t="str">
        <f>IF(ISNUMBER(Datos!CC17),Datos!CC17," - ")</f>
        <v xml:space="preserve"> - </v>
      </c>
      <c r="AA17" s="372">
        <f>IF(ISNUMBER(IF(D_I="SI",Datos!L17,Datos!L17+Datos!AF17)),IF(D_I="SI",Datos!L17,Datos!L17+Datos!AF17)," - ")</f>
        <v>2070</v>
      </c>
      <c r="AB17" s="374">
        <f>IF(ISNUMBER(Datos!R17),Datos!R17," - ")</f>
        <v>337</v>
      </c>
      <c r="AC17" s="374">
        <f t="shared" si="8"/>
        <v>2407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265</v>
      </c>
      <c r="AJ17" s="245" t="str">
        <f>IF(ISNUMBER(Datos!BW17),Datos!BW17," - ")</f>
        <v xml:space="preserve"> - </v>
      </c>
      <c r="AK17" s="246" t="str">
        <f>IF(ISNUMBER(Datos!BX17),Datos!BX17," - ")</f>
        <v xml:space="preserve"> - </v>
      </c>
      <c r="AL17" s="266">
        <f>IF(ISNUMBER(NºAsuntos!G17/NºAsuntos!E17),NºAsuntos!G17/NºAsuntos!E17," - ")</f>
        <v>0.9952061361457335</v>
      </c>
      <c r="AM17" s="284">
        <f>IF(ISNUMBER(((NºAsuntos!I17/NºAsuntos!G17)*11)/factor_trimestre),((NºAsuntos!I17/NºAsuntos!G17)*11)/factor_trimestre," - ")</f>
        <v>5.9826589595375719</v>
      </c>
      <c r="AN17" s="267">
        <f>IF(ISNUMBER('Resol  Asuntos'!D17/NºAsuntos!G17),'Resol  Asuntos'!D17/NºAsuntos!G17," - ")</f>
        <v>0.25529865125240847</v>
      </c>
      <c r="AO17" s="268">
        <f>IF(ISNUMBER((NºAsuntos!C17+NºAsuntos!E17)/NºAsuntos!G17),(NºAsuntos!C17+NºAsuntos!E17)/NºAsuntos!G17," - ")</f>
        <v>2.9682080924855492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132</v>
      </c>
      <c r="X18" s="240">
        <f>IF(ISNUMBER(Datos!Q18),Datos!Q18," - ")</f>
        <v>1</v>
      </c>
      <c r="Y18" s="374">
        <f t="shared" si="9"/>
        <v>133</v>
      </c>
      <c r="Z18" s="375" t="str">
        <f>IF(ISNUMBER(Datos!CC18),Datos!CC18," - ")</f>
        <v xml:space="preserve"> - </v>
      </c>
      <c r="AA18" s="372">
        <f>IF(ISNUMBER(Datos!L18),Datos!L18,"-")</f>
        <v>119</v>
      </c>
      <c r="AB18" s="374">
        <f>IF(ISNUMBER(Datos!R18),Datos!R18," - ")</f>
        <v>2</v>
      </c>
      <c r="AC18" s="374">
        <f t="shared" si="8"/>
        <v>121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1.2692307692307692</v>
      </c>
      <c r="AM18" s="284">
        <f>IF(ISNUMBER(((NºAsuntos!I18/NºAsuntos!G18)*11)/factor_trimestre),((NºAsuntos!I18/NºAsuntos!G18)*11)/factor_trimestre," - ")</f>
        <v>2.7045454545454546</v>
      </c>
      <c r="AN18" s="267">
        <f>IF(ISNUMBER('Resol  Asuntos'!D18/NºAsuntos!G18),'Resol  Asuntos'!D18/NºAsuntos!G18," - ")</f>
        <v>0.17424242424242425</v>
      </c>
      <c r="AO18" s="268">
        <f>IF(ISNUMBER((NºAsuntos!C18+NºAsuntos!E18)/NºAsuntos!G18),(NºAsuntos!C18+NºAsuntos!E18)/NºAsuntos!G18," - ")</f>
        <v>1.9015151515151516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2065</v>
      </c>
      <c r="G23" s="1163">
        <f>SUBTOTAL(9,G16:G22)</f>
        <v>2185</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1170</v>
      </c>
      <c r="X23" s="1164">
        <f t="shared" si="14"/>
        <v>44</v>
      </c>
      <c r="Y23" s="1165">
        <f t="shared" si="14"/>
        <v>1214</v>
      </c>
      <c r="Z23" s="1165">
        <f t="shared" si="14"/>
        <v>0</v>
      </c>
      <c r="AA23" s="1165">
        <f t="shared" si="14"/>
        <v>2189</v>
      </c>
      <c r="AB23" s="1165">
        <f t="shared" si="14"/>
        <v>339</v>
      </c>
      <c r="AC23" s="1165">
        <f t="shared" si="14"/>
        <v>2528</v>
      </c>
      <c r="AD23" s="1165">
        <f t="shared" si="14"/>
        <v>0</v>
      </c>
      <c r="AE23" s="1169">
        <f t="shared" si="14"/>
        <v>0</v>
      </c>
      <c r="AF23" s="1162">
        <f t="shared" si="14"/>
        <v>0</v>
      </c>
      <c r="AG23" s="1170">
        <f t="shared" si="14"/>
        <v>0</v>
      </c>
      <c r="AH23" s="1167">
        <f t="shared" si="14"/>
        <v>0</v>
      </c>
      <c r="AI23" s="1162">
        <f t="shared" si="14"/>
        <v>288</v>
      </c>
      <c r="AJ23" s="1164">
        <f t="shared" si="14"/>
        <v>0</v>
      </c>
      <c r="AK23" s="1167">
        <f t="shared" si="14"/>
        <v>0</v>
      </c>
      <c r="AL23" s="1171">
        <f>IF(ISNUMBER(NºAsuntos!G23/NºAsuntos!E23),NºAsuntos!G23/NºAsuntos!E23," - ")</f>
        <v>1.0200523103748911</v>
      </c>
      <c r="AM23" s="1171">
        <f>IF(ISNUMBER(((NºAsuntos!I23/NºAsuntos!G23)*11)/factor_trimestre),((NºAsuntos!I23/NºAsuntos!G23)*11)/factor_trimestre," - ")</f>
        <v>5.6128205128205133</v>
      </c>
      <c r="AN23" s="1172">
        <f>IF(ISNUMBER('Resol  Asuntos'!D23/NºAsuntos!G23),'Resol  Asuntos'!D23/NºAsuntos!G23," - ")</f>
        <v>0.24615384615384617</v>
      </c>
      <c r="AO23" s="1173">
        <f>IF(ISNUMBER((NºAsuntos!C23+NºAsuntos!E23)/NºAsuntos!G23),(NºAsuntos!C23+NºAsuntos!E23)/NºAsuntos!G23," - ")</f>
        <v>2.847863247863248</v>
      </c>
      <c r="AP23" s="1174" t="str">
        <f t="shared" si="2"/>
        <v xml:space="preserve"> - </v>
      </c>
      <c r="AQ23" s="1174">
        <f>IF(ISNUMBER((H23-W23+K23)/(F23)),(H23-W23+K23)/(F23)," - ")</f>
        <v>-0.56658595641646492</v>
      </c>
      <c r="AR23" s="1175">
        <f>IF(ISNUMBER((Datos!P23-Datos!Q23)/(Datos!R23-Datos!P23+Datos!Q23)),(Datos!P23-Datos!Q23)/(Datos!R23-Datos!P23+Datos!Q23)," - ")</f>
        <v>5.6074766355140186E-2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2093</v>
      </c>
      <c r="G31" s="1118">
        <f t="shared" si="20"/>
        <v>2213</v>
      </c>
      <c r="H31" s="1117">
        <f t="shared" si="20"/>
        <v>0</v>
      </c>
      <c r="I31" s="1119">
        <f t="shared" si="20"/>
        <v>0</v>
      </c>
      <c r="J31" s="1119">
        <f t="shared" si="20"/>
        <v>0</v>
      </c>
      <c r="K31" s="1180">
        <f t="shared" si="20"/>
        <v>0</v>
      </c>
      <c r="L31" s="1119">
        <f t="shared" si="20"/>
        <v>446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1184</v>
      </c>
      <c r="X31" s="1118">
        <f t="shared" si="21"/>
        <v>327</v>
      </c>
      <c r="Y31" s="1125">
        <f t="shared" si="21"/>
        <v>1511</v>
      </c>
      <c r="Z31" s="1125">
        <f t="shared" si="21"/>
        <v>0</v>
      </c>
      <c r="AA31" s="1125">
        <f t="shared" si="21"/>
        <v>2214</v>
      </c>
      <c r="AB31" s="1125">
        <f t="shared" si="21"/>
        <v>5978</v>
      </c>
      <c r="AC31" s="1125">
        <f t="shared" si="21"/>
        <v>2594</v>
      </c>
      <c r="AD31" s="1125">
        <f t="shared" si="21"/>
        <v>0</v>
      </c>
      <c r="AE31" s="1127">
        <f t="shared" si="21"/>
        <v>0</v>
      </c>
      <c r="AF31" s="1128">
        <f t="shared" si="21"/>
        <v>0</v>
      </c>
      <c r="AG31" s="1129">
        <f t="shared" si="21"/>
        <v>0</v>
      </c>
      <c r="AH31" s="1127">
        <f t="shared" si="21"/>
        <v>0</v>
      </c>
      <c r="AI31" s="1117">
        <f t="shared" si="21"/>
        <v>637</v>
      </c>
      <c r="AJ31" s="1117">
        <f t="shared" si="21"/>
        <v>0</v>
      </c>
      <c r="AK31" s="1127">
        <f t="shared" si="21"/>
        <v>0</v>
      </c>
      <c r="AL31" s="1183">
        <f>IF(ISNUMBER(NºAsuntos!G31/NºAsuntos!E31),NºAsuntos!G31/NºAsuntos!E31," - ")</f>
        <v>1.1132947976878613</v>
      </c>
      <c r="AM31" s="1184">
        <f>IF(ISNUMBER(((NºAsuntos!I31/NºAsuntos!G31)*11)/factor_trimestre),((NºAsuntos!I31/NºAsuntos!G31)*11)/factor_trimestre," - ")</f>
        <v>6.0944963655244031</v>
      </c>
      <c r="AN31" s="1184">
        <f>IF(ISNUMBER('Resol  Asuntos'!D31/NºAsuntos!G31),'Resol  Asuntos'!D31/NºAsuntos!G31," - ")</f>
        <v>0.22049151955694013</v>
      </c>
      <c r="AO31" s="1185">
        <f>IF(ISNUMBER((NºAsuntos!C31+NºAsuntos!E31)/NºAsuntos!G31),(NºAsuntos!C31+NºAsuntos!E31)/NºAsuntos!G31," - ")</f>
        <v>3.0197300103842162</v>
      </c>
      <c r="AP31" s="1186" t="str">
        <f t="shared" si="2"/>
        <v xml:space="preserve"> - </v>
      </c>
      <c r="AQ31" s="1187">
        <f>IF(OR(ISNUMBER(FIND("01",Criterios!A8,1)),ISNUMBER(FIND("02",Criterios!A8,1)),ISNUMBER(FIND("03",Criterios!A8,1)),ISNUMBER(FIND("04",Criterios!A8,1))),(I31-W31+K31)/(F31-K31),(H31-W31+K31)/(F31-K31))</f>
        <v>-0.56569517439082662</v>
      </c>
      <c r="AR31" s="1188">
        <f>IF(ISNUMBER((Datos!P31-Datos!Q31)/(Datos!R31-Datos!P31+Datos!Q31)),(Datos!P31-Datos!Q31)/(Datos!R31-Datos!P31+Datos!Q31)," - ")</f>
        <v>2.0310633213859019E-2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1059.2058660461935</v>
      </c>
      <c r="G33" s="277">
        <f>IF(ISNUMBER(STDEV(G8:G30)),STDEV(G8:G30),"-")</f>
        <v>1012.6162014448374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526.48194470013698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164.58931574419665</v>
      </c>
      <c r="AJ33" s="276">
        <f t="shared" si="25"/>
        <v>0</v>
      </c>
      <c r="AK33" s="278">
        <f t="shared" si="25"/>
        <v>0</v>
      </c>
      <c r="AL33" s="273">
        <f t="shared" si="25"/>
        <v>0.12056480698244312</v>
      </c>
      <c r="AM33" s="274">
        <f t="shared" si="25"/>
        <v>1.3970232698897573</v>
      </c>
      <c r="AN33" s="274">
        <f t="shared" si="25"/>
        <v>0.1199017673270968</v>
      </c>
      <c r="AO33" s="275">
        <f t="shared" si="25"/>
        <v>0.46188471202578052</v>
      </c>
      <c r="AP33" s="317" t="str">
        <f t="shared" si="25"/>
        <v>-</v>
      </c>
      <c r="AQ33" s="318">
        <f t="shared" si="25"/>
        <v>4.7083381313874247E-2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T+78yAmWBYOFKZpFmmjzFkoCVcSZZTHjOOqYJ100ncatbnySu0eY6AS+NhoMbVR6KknVw9KQoFvslI2ug6JUg==" saltValue="MD2sqNkDqNGhpqjdxaAT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CHICLANA DE LA FRONTERA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-0.47169811320754718</v>
      </c>
      <c r="E10" s="393">
        <f>IF(ISNUMBER((Datos!J10-Datos!T10)/Datos!T10),(Datos!J10-Datos!T10)/Datos!T10," - ")</f>
        <v>1.2</v>
      </c>
      <c r="F10" s="393">
        <f>IF(ISNUMBER((Datos!K10-Datos!U10)/Datos!U10),(Datos!K10-Datos!U10)/Datos!U10," - ")</f>
        <v>2.5</v>
      </c>
      <c r="G10" s="394">
        <f>IF(ISNUMBER((Datos!L10-Datos!V10)/Datos!V10),(Datos!L10-Datos!V10)/Datos!V10," - ")</f>
        <v>-0.53703703703703709</v>
      </c>
      <c r="H10" s="244">
        <f>IF(ISNUMBER((Datos!M10-Datos!W10)/Datos!W10),(Datos!M10-Datos!W10)/Datos!W10," - ")</f>
        <v>0.75</v>
      </c>
      <c r="I10" s="395">
        <f>IF(ISNUMBER((Tasas!C10-Datos!BE10)/Datos!BE10),(Tasas!C10-Datos!BE10)/Datos!BE10," - ")</f>
        <v>-0.86772486772486768</v>
      </c>
      <c r="J10" s="394">
        <f>IF(ISNUMBER((Tasas!D10-Datos!BF10)/Datos!BF10),(Tasas!D10-Datos!BF10)/Datos!BF10," - ")</f>
        <v>-0.5</v>
      </c>
      <c r="K10" s="396">
        <f>IF(ISNUMBER((Tasas!E10-Datos!BG10)/Datos!BG10),(Tasas!E10-Datos!BG10)/Datos!BG10," - ")</f>
        <v>-0.8078817733990149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0.36254980079681276</v>
      </c>
      <c r="I12" s="395">
        <f>IF(ISNUMBER((Tasas!C12-Datos!BE12)/Datos!BE12),(Tasas!C12-Datos!BE12)/Datos!BE12," - ")</f>
        <v>-0.33577084505213972</v>
      </c>
      <c r="J12" s="394">
        <f>IF(ISNUMBER((Tasas!D12-Datos!BF12)/Datos!BF12),(Tasas!D12-Datos!BF12)/Datos!BF12," - ")</f>
        <v>-0.32862818415517647</v>
      </c>
      <c r="K12" s="396">
        <f>IF(ISNUMBER((Tasas!E12-Datos!BG12)/Datos!BG12),(Tasas!E12-Datos!BG12)/Datos!BG12," - ")</f>
        <v>-0.25663839706392894</v>
      </c>
      <c r="M12" t="e">
        <f>IF(Monitorios="SI",Datos!CE12,0)</f>
        <v>#REF!</v>
      </c>
      <c r="N12" t="e">
        <f>IF(Monitorios="SI",Datos!CF12,0)</f>
        <v>#REF!</v>
      </c>
      <c r="O12" t="e">
        <f>IF(Monitorios="SI",Datos!CG12,0)</f>
        <v>#REF!</v>
      </c>
      <c r="P12" t="e">
        <f>IF(Monitorios="SI",Datos!CH12,0)</f>
        <v>#REF!</v>
      </c>
      <c r="Q12">
        <f>IF(J_V="SI",0,Datos!AG12)</f>
        <v>66</v>
      </c>
      <c r="R12">
        <f>IF(J_V="SI",0,Datos!AH12)</f>
        <v>174</v>
      </c>
      <c r="S12">
        <f>IF(J_V="SI",0,Datos!AI12)</f>
        <v>124</v>
      </c>
      <c r="T12">
        <f>IF(J_V="SI",0,Datos!AJ12)</f>
        <v>116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0.36862745098039218</v>
      </c>
      <c r="I14" s="402">
        <f>IF(ISNUMBER((Tasas!C14-Datos!BE14)/Datos!BE14),(Tasas!C14-Datos!BE14)/Datos!BE14," - ")</f>
        <v>-0.34307846404842818</v>
      </c>
      <c r="J14" s="400">
        <f>IF(ISNUMBER((Tasas!D14-Datos!BF14)/Datos!BF14),(Tasas!D14-Datos!BF14)/Datos!BF14," - ")</f>
        <v>-0.32531636388396712</v>
      </c>
      <c r="K14" s="403">
        <f>IF(ISNUMBER((Tasas!E14-Datos!BG14)/Datos!BG14),(Tasas!E14-Datos!BG14)/Datos!BG14," - ")</f>
        <v>-0.26281449545631225</v>
      </c>
      <c r="M14" t="e">
        <f>IF(Monitorios="SI",Datos!CE14,0)</f>
        <v>#REF!</v>
      </c>
      <c r="N14" t="e">
        <f>IF(Monitorios="SI",Datos!CF14,0)</f>
        <v>#REF!</v>
      </c>
      <c r="O14" t="e">
        <f>IF(Monitorios="SI",Datos!CG14,0)</f>
        <v>#REF!</v>
      </c>
      <c r="P14" t="e">
        <f>IF(Monitorios="SI",Datos!CH14,0)</f>
        <v>#REF!</v>
      </c>
      <c r="Q14">
        <f>IF(J_V="SI",0,Datos!AG14)</f>
        <v>66</v>
      </c>
      <c r="R14">
        <f>IF(J_V="SI",0,Datos!AH14)</f>
        <v>174</v>
      </c>
      <c r="S14">
        <f>IF(J_V="SI",0,Datos!AI14)</f>
        <v>124</v>
      </c>
      <c r="T14">
        <f>IF(J_V="SI",0,Datos!AJ14)</f>
        <v>116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-9.6230598669623066E-2</v>
      </c>
      <c r="E17" s="393">
        <f>IF(ISNUMBER(
   IF(D_I="SI",(Datos!J17-Datos!T17)/Datos!T17,(Datos!J17+Datos!AD17-(Datos!T17+Datos!AL17))/(Datos!T17+Datos!AL17))
     ),IF(D_I="SI",(Datos!J17-Datos!T17)/Datos!T17,(Datos!J17+Datos!AD17-(Datos!T17+Datos!AL17))/(Datos!T17+Datos!AL17))," - ")</f>
        <v>3.5749751737835157E-2</v>
      </c>
      <c r="F17" s="393">
        <f>IF(ISNUMBER(
   IF(D_I="SI",(Datos!K17-Datos!U17)/Datos!U17,(Datos!K17+Datos!AE17-(Datos!U17+Datos!AM17))/(Datos!U17+Datos!AM17))
     ),IF(D_I="SI",(Datos!K17-Datos!U17)/Datos!U17,(Datos!K17+Datos!AE17-(Datos!U17+Datos!AM17))/(Datos!U17+Datos!AM17))," - ")</f>
        <v>-6.4021641118124431E-2</v>
      </c>
      <c r="G17" s="394">
        <f>IF(ISNUMBER(
   IF(D_I="SI",(Datos!L17-Datos!V17)/Datos!V17,(Datos!L17+Datos!AF17-(Datos!V17+Datos!AN17))/(Datos!V17+Datos!AN17))
     ),IF(D_I="SI",(Datos!L17-Datos!V17)/Datos!V17,(Datos!L17+Datos!AF17-(Datos!V17+Datos!AN17))/(Datos!V17+Datos!AN17))," - ")</f>
        <v>-4.077849860982391E-2</v>
      </c>
      <c r="H17" s="244">
        <f>IF(ISNUMBER((Datos!M17-Datos!W17)/Datos!W17),(Datos!M17-Datos!W17)/Datos!W17," - ")</f>
        <v>0.39473684210526316</v>
      </c>
      <c r="I17" s="395">
        <f>IF(ISNUMBER((Tasas!C17-Datos!BE17)/Datos!BE17),(Tasas!C17-Datos!BE17)/Datos!BE17," - ")</f>
        <v>2.4832991369658244E-2</v>
      </c>
      <c r="J17" s="394">
        <f>IF(ISNUMBER((Tasas!D17-Datos!BF17)/Datos!BF17),(Tasas!D17-Datos!BF17)/Datos!BF17," - ")</f>
        <v>0.49013791704695259</v>
      </c>
      <c r="K17" s="396">
        <f>IF(ISNUMBER((Tasas!E17-Datos!BG17)/Datos!BG17),(Tasas!E17-Datos!BG17)/Datos!BG17," - ")</f>
        <v>9.1179566420828105E-3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-0.42578125</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0.88571428571428568</v>
      </c>
      <c r="G18" s="394">
        <f>IF(ISNUMBER(
   IF(D_I="SI",(Datos!L18-Datos!V18)/Datos!V18,(Datos!L18+Datos!AF18-(Datos!V18+Datos!AN18))/(Datos!V18+Datos!AN18))
     ),IF(D_I="SI",(Datos!L18-Datos!V18)/Datos!V18,(Datos!L18+Datos!AF18-(Datos!V18+Datos!AN18))/(Datos!V18+Datos!AN18))," - ")</f>
        <v>-0.57801418439716312</v>
      </c>
      <c r="H18" s="244">
        <f>IF(ISNUMBER((Datos!M18-Datos!W18)/Datos!W18),(Datos!M18-Datos!W18)/Datos!W18," - ")</f>
        <v>1.5555555555555556</v>
      </c>
      <c r="I18" s="395">
        <f>IF(ISNUMBER((Tasas!C18-Datos!BE18)/Datos!BE18),(Tasas!C18-Datos!BE18)/Datos!BE18," - ")</f>
        <v>-0.77621964324091985</v>
      </c>
      <c r="J18" s="394">
        <f>IF(ISNUMBER((Tasas!D18-Datos!BF18)/Datos!BF18),(Tasas!D18-Datos!BF18)/Datos!BF18," - ")</f>
        <v>0.35521885521885543</v>
      </c>
      <c r="K18" s="396">
        <f>IF(ISNUMBER((Tasas!E18-Datos!BG18)/Datos!BG18),(Tasas!E18-Datos!BG18)/Datos!BG18," - ")</f>
        <v>-0.62185778236914602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-0.12982875348466746</v>
      </c>
      <c r="E23" s="399">
        <f>IF(ISNUMBER(
   IF(D_I="SI",(Datos!J23-Datos!T23)/Datos!T23,(Datos!J23+Datos!AD23-(Datos!T23+Datos!AL23))/(Datos!T23+Datos!AL23))
     ),IF(D_I="SI",(Datos!J23-Datos!T23)/Datos!T23,(Datos!J23+Datos!AD23-(Datos!T23+Datos!AL23))/(Datos!T23+Datos!AL23))," - ")</f>
        <v>3.9891205802357207E-2</v>
      </c>
      <c r="F23" s="399">
        <f>IF(ISNUMBER(
   IF(D_I="SI",(Datos!K23-Datos!U23)/Datos!U23,(Datos!K23+Datos!AE23-(Datos!U23+Datos!AM23))/(Datos!U23+Datos!AM23))
     ),IF(D_I="SI",(Datos!K23-Datos!U23)/Datos!U23,(Datos!K23+Datos!AE23-(Datos!U23+Datos!AM23))/(Datos!U23+Datos!AM23))," - ")</f>
        <v>-7.6335877862595417E-3</v>
      </c>
      <c r="G23" s="400">
        <f>IF(ISNUMBER(
   IF(D_I="SI",(Datos!L23-Datos!V23)/Datos!V23,(Datos!L23+Datos!AF23-(Datos!V23+Datos!AN23))/(Datos!V23+Datos!AN23))
     ),IF(D_I="SI",(Datos!L23-Datos!V23)/Datos!V23,(Datos!L23+Datos!AF23-(Datos!V23+Datos!AN23))/(Datos!V23+Datos!AN23))," - ")</f>
        <v>-0.10286885245901639</v>
      </c>
      <c r="H23" s="401">
        <f>IF(ISNUMBER((Datos!M23-Datos!W23)/Datos!W23),(Datos!M23-Datos!W23)/Datos!W23," - ")</f>
        <v>0.44723618090452261</v>
      </c>
      <c r="I23" s="402">
        <f>IF(ISNUMBER((Tasas!C23-Datos!BE23)/Datos!BE23),(Tasas!C23-Datos!BE23)/Datos!BE23," - ")</f>
        <v>-9.5967843631777988E-2</v>
      </c>
      <c r="J23" s="400">
        <f>IF(ISNUMBER((Tasas!D23-Datos!BF23)/Datos!BF23),(Tasas!D23-Datos!BF23)/Datos!BF23," - ")</f>
        <v>0.45836876691148049</v>
      </c>
      <c r="K23" s="403">
        <f>IF(ISNUMBER((Tasas!E23-Datos!BG23)/Datos!BG23),(Tasas!E23-Datos!BG23)/Datos!BG23," - ")</f>
        <v>-7.0937805968243187E-2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-7.7791152572976224E-2</v>
      </c>
      <c r="E31" s="409">
        <f>IF(ISNUMBER(
   IF(J_V="SI",(Datos!J31-Datos!T31)/Datos!T31,(Datos!J31+Datos!Z31-(Datos!T31+Datos!AH31))/(Datos!T31+Datos!AH31))
     ),IF(J_V="SI",(Datos!J31-Datos!T31)/Datos!T31,(Datos!J31+Datos!Z31-(Datos!T31+Datos!AH31))/(Datos!T31+Datos!AH31))," - ")</f>
        <v>2.7722772277227723E-2</v>
      </c>
      <c r="F31" s="409">
        <f>IF(ISNUMBER(
   IF(J_V="SI",(Datos!K31-Datos!U31)/Datos!U31,(Datos!K31+Datos!AA31-(Datos!U31+Datos!AI31))/(Datos!U31+Datos!AI31))
     ),IF(J_V="SI",(Datos!K31-Datos!U31)/Datos!U31,(Datos!K31+Datos!AA31-(Datos!U31+Datos!AI31))/(Datos!U31+Datos!AI31))," - ")</f>
        <v>0.16257545271629778</v>
      </c>
      <c r="G31" s="410">
        <f>IF(ISNUMBER(
   IF(J_V="SI",(Datos!L31-Datos!V31)/Datos!V31,(Datos!L31+Datos!AB31-(Datos!V31+Datos!AJ31))/(Datos!V31+Datos!AJ31))
     ),IF(J_V="SI",(Datos!L31-Datos!V31)/Datos!V31,(Datos!L31+Datos!AB31-(Datos!V31+Datos!AJ31))/(Datos!V31+Datos!AJ31))," - ")</f>
        <v>-0.12350657108721624</v>
      </c>
      <c r="H31" s="411">
        <f>IF(ISNUMBER((Datos!M31-Datos!W31)/Datos!W31),(Datos!M31-Datos!W31)/Datos!W31," - ")</f>
        <v>0.40308370044052866</v>
      </c>
      <c r="I31" s="408">
        <f>IF(ISNUMBER((Tasas!C31-Datos!BE31)/Datos!BE31),(Tasas!C31-Datos!BE31)/Datos!BE31," - ")</f>
        <v>-0.246076091779762</v>
      </c>
      <c r="J31" s="409">
        <f>IF(ISNUMBER((Tasas!D31-Datos!BF31)/Datos!BF31),(Tasas!D31-Datos!BF31)/Datos!BF31," - ")</f>
        <v>-7.4457050508452374E-2</v>
      </c>
      <c r="K31" s="410">
        <f>IF(ISNUMBER((Tasas!E31-Datos!BG31)/Datos!BG31),(Tasas!E31-Datos!BG31)/Datos!BG31," - ")</f>
        <v>-0.18176544806403039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0.19520912288926365</v>
      </c>
      <c r="E33" s="303">
        <f t="shared" si="1"/>
        <v>0.57390795332826872</v>
      </c>
      <c r="F33" s="303">
        <f t="shared" si="1"/>
        <v>1.1962301868935847</v>
      </c>
      <c r="G33" s="304">
        <f t="shared" si="1"/>
        <v>0.28206000494200156</v>
      </c>
      <c r="H33" s="310">
        <f t="shared" si="1"/>
        <v>0.46862049999196942</v>
      </c>
      <c r="I33" s="302">
        <f t="shared" si="1"/>
        <v>0.35793454614152381</v>
      </c>
      <c r="J33" s="303">
        <f t="shared" si="1"/>
        <v>0.45532531267014592</v>
      </c>
      <c r="K33" s="304">
        <f t="shared" si="1"/>
        <v>0.31793134051520916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SFIk19NtduAlw08vbcdmcax5keQK65J4DUF22tCb7O/5yYtTUhtyM3usJf+p6zY84UmPoLLmNQ2Z+VNqlL8nQ==" saltValue="eDZNVjSSBJ+hEWTRtZs1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